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userName="s177040" algorithmName="SHA-512" hashValue="2mSHRKb3PBzOD+oiXevJXuR/J+nb5s0yCquCUq/rbyyCyvKauloTYw9uVD0uZtqnjAl+nmS9NeBUX1zP4ALYYw==" saltValue="NJHBP/HID6RrIY/VEAb++w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4 Annual Update\Filed Documents 6-14-24\"/>
    </mc:Choice>
  </mc:AlternateContent>
  <xr:revisionPtr revIDLastSave="0" documentId="13_ncr:10001_{3EA58316-AE25-4153-A313-F6194A316053}" xr6:coauthVersionLast="47" xr6:coauthVersionMax="47" xr10:uidLastSave="{00000000-0000-0000-0000-000000000000}"/>
  <bookViews>
    <workbookView xWindow="-48120" yWindow="-15" windowWidth="24240" windowHeight="13020" activeTab="1" xr2:uid="{00000000-000D-0000-FFFF-FFFF00000000}"/>
  </bookViews>
  <sheets>
    <sheet name="Instructions" sheetId="33" r:id="rId1"/>
    <sheet name="2021 NOLC Refund Detail" sheetId="34" r:id="rId2"/>
    <sheet name="Summary" sheetId="29" r:id="rId3"/>
    <sheet name="Pivot" sheetId="31" r:id="rId4"/>
    <sheet name="Transactions" sheetId="18" r:id="rId5"/>
  </sheets>
  <definedNames>
    <definedName name="_xlnm._FilterDatabase" localSheetId="4" hidden="1">Transactions!$A$15:$R$211</definedName>
    <definedName name="AS1_1999" localSheetId="4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2">Summary!$C$1:$I$40</definedName>
    <definedName name="_xlnm.Print_Area" localSheetId="4">Transactions!$A$1:$R$211</definedName>
    <definedName name="_xlnm.Print_Titles" localSheetId="3">Pivot!$3:$4</definedName>
    <definedName name="_xlnm.Print_Titles" localSheetId="4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32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4" l="1"/>
  <c r="H31" i="29" s="1"/>
  <c r="C16" i="34"/>
  <c r="B13" i="34"/>
  <c r="B4" i="34"/>
  <c r="G35" i="29"/>
  <c r="G32" i="29"/>
  <c r="G36" i="29"/>
  <c r="G28" i="29"/>
  <c r="G27" i="29"/>
  <c r="G24" i="29"/>
  <c r="G33" i="29"/>
  <c r="G37" i="29"/>
  <c r="G21" i="29"/>
  <c r="G22" i="29"/>
  <c r="G26" i="29"/>
  <c r="G23" i="29"/>
  <c r="G30" i="29"/>
  <c r="G29" i="29"/>
  <c r="G25" i="29"/>
  <c r="G31" i="29"/>
  <c r="C7" i="34" l="1"/>
  <c r="C6" i="34"/>
  <c r="C10" i="34"/>
  <c r="C12" i="34"/>
  <c r="C14" i="34"/>
  <c r="E14" i="34" s="1"/>
  <c r="C19" i="34"/>
  <c r="C20" i="34"/>
  <c r="C11" i="34"/>
  <c r="C15" i="34"/>
  <c r="C4" i="34"/>
  <c r="D7" i="34"/>
  <c r="H24" i="29" s="1"/>
  <c r="D20" i="34"/>
  <c r="H37" i="29" s="1"/>
  <c r="C5" i="34"/>
  <c r="D10" i="34"/>
  <c r="H27" i="29" s="1"/>
  <c r="D15" i="34"/>
  <c r="H32" i="29" s="1"/>
  <c r="C18" i="34"/>
  <c r="D4" i="34"/>
  <c r="H21" i="29" s="1"/>
  <c r="D12" i="34"/>
  <c r="H29" i="29" s="1"/>
  <c r="D5" i="34"/>
  <c r="H22" i="29" s="1"/>
  <c r="C8" i="34"/>
  <c r="C13" i="34"/>
  <c r="D18" i="34"/>
  <c r="H35" i="29" s="1"/>
  <c r="D8" i="34"/>
  <c r="H25" i="29" s="1"/>
  <c r="E2" i="34"/>
  <c r="D11" i="34"/>
  <c r="H28" i="29" s="1"/>
  <c r="D16" i="34"/>
  <c r="H33" i="29" s="1"/>
  <c r="D13" i="34"/>
  <c r="H30" i="29" s="1"/>
  <c r="D6" i="34"/>
  <c r="H23" i="29" s="1"/>
  <c r="C9" i="34"/>
  <c r="D19" i="34"/>
  <c r="H36" i="29" s="1"/>
  <c r="D9" i="34"/>
  <c r="H26" i="29" s="1"/>
  <c r="C5" i="29"/>
  <c r="E4" i="34" l="1"/>
  <c r="C17" i="34"/>
  <c r="E15" i="34"/>
  <c r="E20" i="34"/>
  <c r="E10" i="34"/>
  <c r="E6" i="34"/>
  <c r="E16" i="34"/>
  <c r="E7" i="34"/>
  <c r="E11" i="34"/>
  <c r="E12" i="34"/>
  <c r="E19" i="34"/>
  <c r="D17" i="34"/>
  <c r="E13" i="34"/>
  <c r="E18" i="34"/>
  <c r="C21" i="34"/>
  <c r="D21" i="34"/>
  <c r="E9" i="34"/>
  <c r="E8" i="34"/>
  <c r="E5" i="34"/>
  <c r="L3" i="18"/>
  <c r="C22" i="34" l="1"/>
  <c r="E17" i="34"/>
  <c r="E21" i="34"/>
  <c r="D22" i="34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3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63" i="18" s="1"/>
  <c r="C87" i="18" s="1"/>
  <c r="C99" i="18" s="1"/>
  <c r="C111" i="18" s="1"/>
  <c r="C123" i="18" s="1"/>
  <c r="C135" i="18" s="1"/>
  <c r="C147" i="18" s="1"/>
  <c r="C159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49" i="18" s="1"/>
  <c r="B169" i="18"/>
  <c r="B168" i="18"/>
  <c r="B167" i="18"/>
  <c r="B166" i="18"/>
  <c r="C33" i="18"/>
  <c r="C45" i="18" s="1"/>
  <c r="B165" i="18"/>
  <c r="C32" i="18"/>
  <c r="C56" i="18" s="1"/>
  <c r="C80" i="18" s="1"/>
  <c r="C92" i="18" s="1"/>
  <c r="C104" i="18" s="1"/>
  <c r="C116" i="18" s="1"/>
  <c r="C128" i="18" s="1"/>
  <c r="C140" i="18" s="1"/>
  <c r="C152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E36" i="29"/>
  <c r="E21" i="29"/>
  <c r="E31" i="29"/>
  <c r="E26" i="29"/>
  <c r="E32" i="29"/>
  <c r="E30" i="29"/>
  <c r="E23" i="29"/>
  <c r="D22" i="29"/>
  <c r="E27" i="29"/>
  <c r="D27" i="29"/>
  <c r="E24" i="29"/>
  <c r="E37" i="29"/>
  <c r="D30" i="29"/>
  <c r="E29" i="29"/>
  <c r="E28" i="29"/>
  <c r="E35" i="29"/>
  <c r="D31" i="29"/>
  <c r="E33" i="29"/>
  <c r="E22" i="29"/>
  <c r="E25" i="29"/>
  <c r="E22" i="34" l="1"/>
  <c r="C61" i="18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C44" i="18"/>
  <c r="C64" i="18"/>
  <c r="C76" i="18" s="1"/>
  <c r="D66" i="18"/>
  <c r="D78" i="18" s="1"/>
  <c r="C57" i="18"/>
  <c r="C81" i="18" s="1"/>
  <c r="C93" i="18" s="1"/>
  <c r="C105" i="18" s="1"/>
  <c r="C117" i="18" s="1"/>
  <c r="C129" i="18" s="1"/>
  <c r="C141" i="18" s="1"/>
  <c r="C153" i="18" s="1"/>
  <c r="C177" i="18" s="1"/>
  <c r="C189" i="18" s="1"/>
  <c r="C201" i="18" s="1"/>
  <c r="D55" i="18"/>
  <c r="C51" i="18"/>
  <c r="D63" i="18"/>
  <c r="D87" i="18" s="1"/>
  <c r="D99" i="18" s="1"/>
  <c r="D111" i="18" s="1"/>
  <c r="D123" i="18" s="1"/>
  <c r="D135" i="18" s="1"/>
  <c r="D147" i="18" s="1"/>
  <c r="D159" i="18" s="1"/>
  <c r="D171" i="18" s="1"/>
  <c r="D53" i="18"/>
  <c r="C54" i="18"/>
  <c r="C75" i="18"/>
  <c r="C53" i="18"/>
  <c r="D46" i="18"/>
  <c r="D50" i="18"/>
  <c r="F10" i="29"/>
  <c r="E20" i="29"/>
  <c r="D20" i="29"/>
  <c r="C78" i="18"/>
  <c r="C90" i="18"/>
  <c r="C102" i="18" s="1"/>
  <c r="C114" i="18" s="1"/>
  <c r="C126" i="18" s="1"/>
  <c r="C138" i="18" s="1"/>
  <c r="C150" i="18" s="1"/>
  <c r="C162" i="18" s="1"/>
  <c r="C174" i="18" s="1"/>
  <c r="D57" i="18"/>
  <c r="D81" i="18" s="1"/>
  <c r="D93" i="18" s="1"/>
  <c r="D105" i="18" s="1"/>
  <c r="D117" i="18" s="1"/>
  <c r="D129" i="18" s="1"/>
  <c r="D141" i="18" s="1"/>
  <c r="D153" i="18" s="1"/>
  <c r="C72" i="18"/>
  <c r="D79" i="18"/>
  <c r="C68" i="18"/>
  <c r="E10" i="29"/>
  <c r="O13" i="18"/>
  <c r="C67" i="18"/>
  <c r="C79" i="18" s="1"/>
  <c r="D77" i="18"/>
  <c r="D89" i="18"/>
  <c r="D101" i="18" s="1"/>
  <c r="D113" i="18" s="1"/>
  <c r="D125" i="18" s="1"/>
  <c r="D137" i="18" s="1"/>
  <c r="D149" i="18" s="1"/>
  <c r="D161" i="18" s="1"/>
  <c r="D173" i="18" s="1"/>
  <c r="D74" i="18"/>
  <c r="D86" i="18"/>
  <c r="D98" i="18" s="1"/>
  <c r="D110" i="18" s="1"/>
  <c r="D122" i="18" s="1"/>
  <c r="D134" i="18" s="1"/>
  <c r="D146" i="18" s="1"/>
  <c r="D158" i="18" s="1"/>
  <c r="D182" i="18" s="1"/>
  <c r="D194" i="18" s="1"/>
  <c r="D206" i="18" s="1"/>
  <c r="C62" i="18"/>
  <c r="D49" i="18"/>
  <c r="D60" i="18"/>
  <c r="D72" i="18" s="1"/>
  <c r="C48" i="18"/>
  <c r="D71" i="18"/>
  <c r="C58" i="18"/>
  <c r="D56" i="18"/>
  <c r="D80" i="18" s="1"/>
  <c r="D92" i="18" s="1"/>
  <c r="D104" i="18" s="1"/>
  <c r="D116" i="18" s="1"/>
  <c r="D128" i="18" s="1"/>
  <c r="D140" i="18" s="1"/>
  <c r="D152" i="18" s="1"/>
  <c r="F30" i="29"/>
  <c r="I30" i="29" s="1"/>
  <c r="H34" i="29"/>
  <c r="G34" i="29"/>
  <c r="F27" i="29"/>
  <c r="I27" i="29" s="1"/>
  <c r="E34" i="29"/>
  <c r="F22" i="29"/>
  <c r="I22" i="29" s="1"/>
  <c r="H38" i="29"/>
  <c r="E38" i="29"/>
  <c r="F31" i="29"/>
  <c r="I31" i="29" s="1"/>
  <c r="G38" i="29"/>
  <c r="C164" i="18"/>
  <c r="C176" i="18"/>
  <c r="C188" i="18" s="1"/>
  <c r="C200" i="18" s="1"/>
  <c r="C180" i="18"/>
  <c r="C192" i="18" s="1"/>
  <c r="C204" i="18" s="1"/>
  <c r="C168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89" i="18"/>
  <c r="C101" i="18" s="1"/>
  <c r="C113" i="18" s="1"/>
  <c r="C125" i="18" s="1"/>
  <c r="C137" i="18" s="1"/>
  <c r="C149" i="18" s="1"/>
  <c r="C161" i="18" s="1"/>
  <c r="C77" i="18"/>
  <c r="D64" i="18"/>
  <c r="D52" i="18"/>
  <c r="D21" i="29"/>
  <c r="D29" i="29"/>
  <c r="D23" i="29"/>
  <c r="D36" i="29"/>
  <c r="D33" i="29"/>
  <c r="D37" i="29"/>
  <c r="D28" i="29"/>
  <c r="D24" i="29"/>
  <c r="D26" i="29"/>
  <c r="D25" i="29"/>
  <c r="D35" i="29"/>
  <c r="D32" i="29"/>
  <c r="D34" i="29" l="1"/>
  <c r="F21" i="29"/>
  <c r="I21" i="29" s="1"/>
  <c r="F37" i="29"/>
  <c r="I37" i="29" s="1"/>
  <c r="F32" i="29"/>
  <c r="I32" i="29" s="1"/>
  <c r="F28" i="29"/>
  <c r="I28" i="29" s="1"/>
  <c r="F26" i="29"/>
  <c r="I26" i="29" s="1"/>
  <c r="F23" i="29"/>
  <c r="I23" i="29" s="1"/>
  <c r="F35" i="29"/>
  <c r="I35" i="29" s="1"/>
  <c r="D38" i="29"/>
  <c r="F33" i="29"/>
  <c r="I33" i="29" s="1"/>
  <c r="F25" i="29"/>
  <c r="I25" i="29" s="1"/>
  <c r="F29" i="29"/>
  <c r="I29" i="29" s="1"/>
  <c r="F24" i="29"/>
  <c r="I24" i="29" s="1"/>
  <c r="F36" i="29"/>
  <c r="I36" i="29" s="1"/>
  <c r="C73" i="18"/>
  <c r="C169" i="18"/>
  <c r="D90" i="18"/>
  <c r="D102" i="18" s="1"/>
  <c r="D114" i="18" s="1"/>
  <c r="D126" i="18" s="1"/>
  <c r="D138" i="18" s="1"/>
  <c r="D150" i="18" s="1"/>
  <c r="D162" i="18" s="1"/>
  <c r="D174" i="18" s="1"/>
  <c r="C88" i="18"/>
  <c r="C100" i="18" s="1"/>
  <c r="C112" i="18" s="1"/>
  <c r="C124" i="18" s="1"/>
  <c r="C136" i="18" s="1"/>
  <c r="C148" i="18" s="1"/>
  <c r="C160" i="18" s="1"/>
  <c r="C165" i="18"/>
  <c r="C69" i="18"/>
  <c r="C91" i="18"/>
  <c r="C103" i="18" s="1"/>
  <c r="C115" i="18" s="1"/>
  <c r="C127" i="18" s="1"/>
  <c r="C139" i="18" s="1"/>
  <c r="C151" i="18" s="1"/>
  <c r="C163" i="18" s="1"/>
  <c r="C187" i="18" s="1"/>
  <c r="C199" i="18" s="1"/>
  <c r="C211" i="18" s="1"/>
  <c r="D170" i="18"/>
  <c r="D69" i="18"/>
  <c r="D75" i="18"/>
  <c r="D68" i="18"/>
  <c r="D183" i="18"/>
  <c r="D195" i="18" s="1"/>
  <c r="D207" i="18" s="1"/>
  <c r="D185" i="18"/>
  <c r="D197" i="18" s="1"/>
  <c r="D209" i="18" s="1"/>
  <c r="C186" i="18"/>
  <c r="C198" i="18" s="1"/>
  <c r="C210" i="18" s="1"/>
  <c r="D84" i="18"/>
  <c r="D96" i="18" s="1"/>
  <c r="D108" i="18" s="1"/>
  <c r="D120" i="18" s="1"/>
  <c r="D132" i="18" s="1"/>
  <c r="D144" i="18" s="1"/>
  <c r="D156" i="18" s="1"/>
  <c r="D168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E39" i="29"/>
  <c r="D88" i="18"/>
  <c r="D100" i="18" s="1"/>
  <c r="D112" i="18" s="1"/>
  <c r="D124" i="18" s="1"/>
  <c r="D136" i="18" s="1"/>
  <c r="D148" i="18" s="1"/>
  <c r="D160" i="18" s="1"/>
  <c r="D76" i="18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H39" i="29"/>
  <c r="F34" i="29" l="1"/>
  <c r="D39" i="29"/>
  <c r="F38" i="29"/>
  <c r="C175" i="18"/>
  <c r="D186" i="18"/>
  <c r="D198" i="18" s="1"/>
  <c r="D210" i="18" s="1"/>
  <c r="C172" i="18"/>
  <c r="C184" i="18"/>
  <c r="C196" i="18" s="1"/>
  <c r="C208" i="18" s="1"/>
  <c r="D180" i="18"/>
  <c r="D192" i="18" s="1"/>
  <c r="D204" i="18" s="1"/>
  <c r="Q13" i="18"/>
  <c r="Q14" i="18"/>
  <c r="C170" i="18"/>
  <c r="C182" i="18"/>
  <c r="C194" i="18" s="1"/>
  <c r="C206" i="18" s="1"/>
  <c r="C178" i="18"/>
  <c r="C190" i="18" s="1"/>
  <c r="C202" i="18" s="1"/>
  <c r="C166" i="18"/>
  <c r="I34" i="29"/>
  <c r="I38" i="29"/>
  <c r="C167" i="18"/>
  <c r="C179" i="18"/>
  <c r="C191" i="18" s="1"/>
  <c r="C203" i="18" s="1"/>
  <c r="D184" i="18"/>
  <c r="D196" i="18" s="1"/>
  <c r="D208" i="18" s="1"/>
  <c r="D172" i="18"/>
  <c r="F39" i="29" l="1"/>
  <c r="I39" i="29"/>
  <c r="E11" i="29" l="1"/>
  <c r="H211" i="18" l="1"/>
  <c r="H85" i="18"/>
  <c r="H150" i="18"/>
  <c r="H183" i="18"/>
  <c r="H203" i="18"/>
  <c r="H93" i="18"/>
  <c r="H154" i="18"/>
  <c r="H187" i="18"/>
  <c r="H35" i="18"/>
  <c r="H167" i="18"/>
  <c r="H196" i="18"/>
  <c r="H30" i="18"/>
  <c r="H159" i="18"/>
  <c r="H163" i="18"/>
  <c r="H39" i="18"/>
  <c r="H64" i="18"/>
  <c r="H28" i="18"/>
  <c r="H42" i="18"/>
  <c r="H152" i="18"/>
  <c r="H110" i="18"/>
  <c r="H143" i="18"/>
  <c r="H160" i="18"/>
  <c r="H114" i="18"/>
  <c r="H147" i="18"/>
  <c r="E13" i="29"/>
  <c r="H197" i="18"/>
  <c r="H195" i="18"/>
  <c r="H94" i="18"/>
  <c r="H140" i="18"/>
  <c r="H102" i="18"/>
  <c r="H141" i="18"/>
  <c r="H149" i="18"/>
  <c r="H103" i="18"/>
  <c r="H137" i="18"/>
  <c r="H23" i="18"/>
  <c r="H199" i="18"/>
  <c r="H145" i="18"/>
  <c r="H27" i="18"/>
  <c r="H172" i="18"/>
  <c r="H188" i="18"/>
  <c r="H161" i="18"/>
  <c r="H61" i="18"/>
  <c r="H166" i="18"/>
  <c r="H57" i="18"/>
  <c r="H108" i="18"/>
  <c r="H210" i="18"/>
  <c r="H29" i="18"/>
  <c r="H165" i="18"/>
  <c r="H182" i="18"/>
  <c r="H125" i="18"/>
  <c r="H76" i="18"/>
  <c r="H173" i="18"/>
  <c r="H186" i="18"/>
  <c r="H189" i="18"/>
  <c r="H131" i="18"/>
  <c r="H200" i="18"/>
  <c r="H56" i="18"/>
  <c r="H62" i="18"/>
  <c r="H180" i="18"/>
  <c r="H84" i="18"/>
  <c r="H135" i="18"/>
  <c r="H128" i="18"/>
  <c r="H41" i="18"/>
  <c r="H202" i="18"/>
  <c r="H69" i="18"/>
  <c r="H142" i="18"/>
  <c r="H175" i="18"/>
  <c r="H77" i="18"/>
  <c r="H146" i="18"/>
  <c r="H179" i="18"/>
  <c r="H164" i="18"/>
  <c r="H73" i="18"/>
  <c r="H181" i="18"/>
  <c r="H20" i="18"/>
  <c r="H81" i="18"/>
  <c r="H185" i="18"/>
  <c r="H63" i="18"/>
  <c r="H177" i="18"/>
  <c r="H120" i="18"/>
  <c r="H117" i="18"/>
  <c r="H184" i="18"/>
  <c r="H204" i="18"/>
  <c r="H139" i="18"/>
  <c r="H174" i="18"/>
  <c r="H207" i="18"/>
  <c r="H178" i="18"/>
  <c r="H92" i="18"/>
  <c r="H116" i="18"/>
  <c r="H127" i="18"/>
  <c r="H170" i="18"/>
  <c r="H126" i="18"/>
  <c r="H72" i="18"/>
  <c r="H33" i="18"/>
  <c r="H45" i="18"/>
  <c r="H206" i="18"/>
  <c r="H65" i="18"/>
  <c r="H21" i="18"/>
  <c r="H124" i="18"/>
  <c r="H22" i="18"/>
  <c r="H55" i="18"/>
  <c r="H80" i="18"/>
  <c r="H156" i="18"/>
  <c r="H26" i="18"/>
  <c r="H59" i="18"/>
  <c r="H191" i="18"/>
  <c r="H136" i="18"/>
  <c r="H107" i="18"/>
  <c r="H101" i="18"/>
  <c r="H158" i="18"/>
  <c r="H98" i="18"/>
  <c r="H53" i="18"/>
  <c r="H74" i="18"/>
  <c r="H97" i="18"/>
  <c r="H71" i="18"/>
  <c r="H37" i="18"/>
  <c r="H121" i="18"/>
  <c r="H205" i="18"/>
  <c r="H60" i="18"/>
  <c r="H129" i="18"/>
  <c r="H209" i="18"/>
  <c r="H133" i="18"/>
  <c r="H44" i="18"/>
  <c r="H192" i="18"/>
  <c r="H100" i="18"/>
  <c r="H51" i="18"/>
  <c r="H104" i="18"/>
  <c r="H119" i="18"/>
  <c r="H112" i="18"/>
  <c r="H123" i="18"/>
  <c r="H70" i="18"/>
  <c r="H89" i="18"/>
  <c r="H193" i="18"/>
  <c r="H36" i="18"/>
  <c r="H144" i="18"/>
  <c r="H46" i="18"/>
  <c r="H32" i="18"/>
  <c r="H83" i="18"/>
  <c r="H118" i="18"/>
  <c r="H151" i="18"/>
  <c r="H176" i="18"/>
  <c r="H155" i="18"/>
  <c r="H198" i="18"/>
  <c r="H153" i="18"/>
  <c r="H99" i="18"/>
  <c r="H157" i="18"/>
  <c r="H67" i="18"/>
  <c r="H88" i="18"/>
  <c r="H111" i="18"/>
  <c r="H82" i="18"/>
  <c r="H171" i="18"/>
  <c r="H40" i="18"/>
  <c r="H54" i="18"/>
  <c r="H87" i="18"/>
  <c r="H113" i="18"/>
  <c r="H48" i="18"/>
  <c r="H58" i="18"/>
  <c r="H91" i="18"/>
  <c r="H109" i="18"/>
  <c r="H169" i="18"/>
  <c r="H132" i="18"/>
  <c r="H25" i="18"/>
  <c r="H190" i="18"/>
  <c r="H194" i="18"/>
  <c r="H105" i="18"/>
  <c r="H201" i="18"/>
  <c r="H66" i="18"/>
  <c r="H68" i="18"/>
  <c r="H47" i="18"/>
  <c r="H208" i="18"/>
  <c r="H138" i="18"/>
  <c r="H86" i="18"/>
  <c r="H106" i="18"/>
  <c r="H90" i="18"/>
  <c r="H34" i="18"/>
  <c r="H52" i="18"/>
  <c r="H31" i="18"/>
  <c r="H38" i="18"/>
  <c r="H130" i="18"/>
  <c r="H24" i="18"/>
  <c r="H79" i="18"/>
  <c r="H50" i="18"/>
  <c r="H75" i="18"/>
  <c r="H168" i="18"/>
  <c r="H43" i="18"/>
  <c r="H122" i="18"/>
  <c r="H162" i="18"/>
  <c r="H148" i="18"/>
  <c r="H95" i="18"/>
  <c r="H134" i="18"/>
  <c r="H49" i="18"/>
  <c r="H78" i="18"/>
  <c r="H96" i="18"/>
  <c r="H115" i="18"/>
  <c r="K31" i="18" l="1"/>
  <c r="K47" i="18"/>
  <c r="K103" i="18"/>
  <c r="K143" i="18"/>
  <c r="K191" i="18"/>
  <c r="K32" i="18"/>
  <c r="K56" i="18"/>
  <c r="K104" i="18"/>
  <c r="K27" i="18"/>
  <c r="K43" i="18"/>
  <c r="K67" i="18"/>
  <c r="K21" i="18"/>
  <c r="K29" i="18"/>
  <c r="K37" i="18"/>
  <c r="K22" i="18"/>
  <c r="K30" i="18"/>
  <c r="K38" i="18"/>
  <c r="K46" i="18"/>
  <c r="K54" i="18"/>
  <c r="K62" i="18"/>
  <c r="K70" i="18"/>
  <c r="K78" i="18"/>
  <c r="K86" i="18"/>
  <c r="K94" i="18"/>
  <c r="K102" i="18"/>
  <c r="K110" i="18"/>
  <c r="K118" i="18"/>
  <c r="K126" i="18"/>
  <c r="K134" i="18"/>
  <c r="K142" i="18"/>
  <c r="K150" i="18"/>
  <c r="K158" i="18"/>
  <c r="K166" i="18"/>
  <c r="K174" i="18"/>
  <c r="K182" i="18"/>
  <c r="K190" i="18"/>
  <c r="K198" i="18"/>
  <c r="K206" i="18"/>
  <c r="K79" i="18"/>
  <c r="K127" i="18"/>
  <c r="K167" i="18"/>
  <c r="K39" i="18"/>
  <c r="K63" i="18"/>
  <c r="K87" i="18"/>
  <c r="K151" i="18"/>
  <c r="K64" i="18"/>
  <c r="K96" i="18"/>
  <c r="K136" i="18"/>
  <c r="K168" i="18"/>
  <c r="K176" i="18"/>
  <c r="K184" i="18"/>
  <c r="K200" i="18"/>
  <c r="K25" i="18"/>
  <c r="K41" i="18"/>
  <c r="K49" i="18"/>
  <c r="K57" i="18"/>
  <c r="K65" i="18"/>
  <c r="K73" i="18"/>
  <c r="K81" i="18"/>
  <c r="K89" i="18"/>
  <c r="K97" i="18"/>
  <c r="K105" i="18"/>
  <c r="K113" i="18"/>
  <c r="K121" i="18"/>
  <c r="K129" i="18"/>
  <c r="K137" i="18"/>
  <c r="K145" i="18"/>
  <c r="K153" i="18"/>
  <c r="K161" i="18"/>
  <c r="K169" i="18"/>
  <c r="K177" i="18"/>
  <c r="K185" i="18"/>
  <c r="K193" i="18"/>
  <c r="K201" i="18"/>
  <c r="K209" i="18"/>
  <c r="K55" i="18"/>
  <c r="K119" i="18"/>
  <c r="K160" i="18"/>
  <c r="K192" i="18"/>
  <c r="K208" i="18"/>
  <c r="K33" i="18"/>
  <c r="K26" i="18"/>
  <c r="K34" i="18"/>
  <c r="K42" i="18"/>
  <c r="K50" i="18"/>
  <c r="K58" i="18"/>
  <c r="K66" i="18"/>
  <c r="K74" i="18"/>
  <c r="K82" i="18"/>
  <c r="K90" i="18"/>
  <c r="K98" i="18"/>
  <c r="K106" i="18"/>
  <c r="K114" i="18"/>
  <c r="K122" i="18"/>
  <c r="K130" i="18"/>
  <c r="K138" i="18"/>
  <c r="K146" i="18"/>
  <c r="K154" i="18"/>
  <c r="K162" i="18"/>
  <c r="K170" i="18"/>
  <c r="K178" i="18"/>
  <c r="K186" i="18"/>
  <c r="K194" i="18"/>
  <c r="K202" i="18"/>
  <c r="K210" i="18"/>
  <c r="K23" i="18"/>
  <c r="K95" i="18"/>
  <c r="K135" i="18"/>
  <c r="K175" i="18"/>
  <c r="K183" i="18"/>
  <c r="K48" i="18"/>
  <c r="K80" i="18"/>
  <c r="K144" i="18"/>
  <c r="K35" i="18"/>
  <c r="K59" i="18"/>
  <c r="K91" i="18"/>
  <c r="K99" i="18"/>
  <c r="K107" i="18"/>
  <c r="K115" i="18"/>
  <c r="K123" i="18"/>
  <c r="K131" i="18"/>
  <c r="K139" i="18"/>
  <c r="K147" i="18"/>
  <c r="K155" i="18"/>
  <c r="K163" i="18"/>
  <c r="K171" i="18"/>
  <c r="K179" i="18"/>
  <c r="K187" i="18"/>
  <c r="K195" i="18"/>
  <c r="K203" i="18"/>
  <c r="K211" i="18"/>
  <c r="K111" i="18"/>
  <c r="K159" i="18"/>
  <c r="K207" i="18"/>
  <c r="K72" i="18"/>
  <c r="K120" i="18"/>
  <c r="K152" i="18"/>
  <c r="K75" i="18"/>
  <c r="K83" i="18"/>
  <c r="K20" i="18"/>
  <c r="G212" i="18"/>
  <c r="K28" i="18"/>
  <c r="K36" i="18"/>
  <c r="K44" i="18"/>
  <c r="K52" i="18"/>
  <c r="K60" i="18"/>
  <c r="K68" i="18"/>
  <c r="K76" i="18"/>
  <c r="K84" i="18"/>
  <c r="K92" i="18"/>
  <c r="K100" i="18"/>
  <c r="K108" i="18"/>
  <c r="K116" i="18"/>
  <c r="K124" i="18"/>
  <c r="K132" i="18"/>
  <c r="K140" i="18"/>
  <c r="K148" i="18"/>
  <c r="K156" i="18"/>
  <c r="K164" i="18"/>
  <c r="K172" i="18"/>
  <c r="K180" i="18"/>
  <c r="K188" i="18"/>
  <c r="K196" i="18"/>
  <c r="K204" i="18"/>
  <c r="K71" i="18"/>
  <c r="K199" i="18"/>
  <c r="K24" i="18"/>
  <c r="K40" i="18"/>
  <c r="K88" i="18"/>
  <c r="K112" i="18"/>
  <c r="K128" i="18"/>
  <c r="K51" i="18"/>
  <c r="K45" i="18"/>
  <c r="K53" i="18"/>
  <c r="K61" i="18"/>
  <c r="K69" i="18"/>
  <c r="K77" i="18"/>
  <c r="K85" i="18"/>
  <c r="K93" i="18"/>
  <c r="K101" i="18"/>
  <c r="K109" i="18"/>
  <c r="K117" i="18"/>
  <c r="K125" i="18"/>
  <c r="K133" i="18"/>
  <c r="K141" i="18"/>
  <c r="K149" i="18"/>
  <c r="K157" i="18"/>
  <c r="K165" i="18"/>
  <c r="K173" i="18"/>
  <c r="K181" i="18"/>
  <c r="K189" i="18"/>
  <c r="K197" i="18"/>
  <c r="K205" i="18"/>
  <c r="K13" i="18" l="1"/>
  <c r="K212" i="18"/>
  <c r="K14" i="18"/>
  <c r="F12" i="29" l="1"/>
  <c r="I39" i="18" l="1"/>
  <c r="J39" i="18" s="1"/>
  <c r="L39" i="18" s="1"/>
  <c r="I36" i="18"/>
  <c r="J36" i="18" s="1"/>
  <c r="L36" i="18" s="1"/>
  <c r="I122" i="18"/>
  <c r="J122" i="18" s="1"/>
  <c r="L122" i="18" s="1"/>
  <c r="I163" i="18"/>
  <c r="J163" i="18" s="1"/>
  <c r="L163" i="18" s="1"/>
  <c r="I190" i="18"/>
  <c r="J190" i="18" s="1"/>
  <c r="L190" i="18" s="1"/>
  <c r="I100" i="18"/>
  <c r="J100" i="18" s="1"/>
  <c r="L100" i="18" s="1"/>
  <c r="I211" i="18"/>
  <c r="J211" i="18" s="1"/>
  <c r="L211" i="18" s="1"/>
  <c r="I142" i="18"/>
  <c r="J142" i="18" s="1"/>
  <c r="L142" i="18" s="1"/>
  <c r="I193" i="18"/>
  <c r="J193" i="18" s="1"/>
  <c r="L193" i="18" s="1"/>
  <c r="I197" i="18"/>
  <c r="J197" i="18" s="1"/>
  <c r="L197" i="18" s="1"/>
  <c r="I99" i="18"/>
  <c r="J99" i="18" s="1"/>
  <c r="L99" i="18" s="1"/>
  <c r="I102" i="18"/>
  <c r="J102" i="18" s="1"/>
  <c r="L102" i="18" s="1"/>
  <c r="I179" i="18"/>
  <c r="J179" i="18" s="1"/>
  <c r="L179" i="18" s="1"/>
  <c r="I119" i="18"/>
  <c r="J119" i="18" s="1"/>
  <c r="L119" i="18" s="1"/>
  <c r="I27" i="18"/>
  <c r="J27" i="18" s="1"/>
  <c r="L27" i="18" s="1"/>
  <c r="I140" i="18"/>
  <c r="J140" i="18" s="1"/>
  <c r="L140" i="18" s="1"/>
  <c r="I112" i="18"/>
  <c r="J112" i="18" s="1"/>
  <c r="L112" i="18" s="1"/>
  <c r="I181" i="18"/>
  <c r="J181" i="18" s="1"/>
  <c r="L181" i="18" s="1"/>
  <c r="I156" i="18"/>
  <c r="J156" i="18" s="1"/>
  <c r="L156" i="18" s="1"/>
  <c r="I120" i="18"/>
  <c r="J120" i="18" s="1"/>
  <c r="L120" i="18" s="1"/>
  <c r="I77" i="18"/>
  <c r="J77" i="18" s="1"/>
  <c r="L77" i="18" s="1"/>
  <c r="I21" i="18"/>
  <c r="J21" i="18" s="1"/>
  <c r="L21" i="18" s="1"/>
  <c r="I160" i="18"/>
  <c r="J160" i="18" s="1"/>
  <c r="L160" i="18" s="1"/>
  <c r="I207" i="18"/>
  <c r="J207" i="18" s="1"/>
  <c r="L207" i="18" s="1"/>
  <c r="I48" i="18"/>
  <c r="J48" i="18" s="1"/>
  <c r="L48" i="18" s="1"/>
  <c r="I169" i="18"/>
  <c r="J169" i="18" s="1"/>
  <c r="L169" i="18" s="1"/>
  <c r="I141" i="18"/>
  <c r="J141" i="18" s="1"/>
  <c r="L141" i="18" s="1"/>
  <c r="I98" i="18"/>
  <c r="J98" i="18" s="1"/>
  <c r="L98" i="18" s="1"/>
  <c r="I82" i="18"/>
  <c r="J82" i="18" s="1"/>
  <c r="L82" i="18" s="1"/>
  <c r="I84" i="18"/>
  <c r="J84" i="18" s="1"/>
  <c r="L84" i="18" s="1"/>
  <c r="I69" i="18"/>
  <c r="J69" i="18" s="1"/>
  <c r="L69" i="18" s="1"/>
  <c r="I136" i="18"/>
  <c r="J136" i="18" s="1"/>
  <c r="L136" i="18" s="1"/>
  <c r="I170" i="18"/>
  <c r="J170" i="18" s="1"/>
  <c r="L170" i="18" s="1"/>
  <c r="I88" i="18"/>
  <c r="J88" i="18" s="1"/>
  <c r="L88" i="18" s="1"/>
  <c r="I134" i="18"/>
  <c r="J134" i="18" s="1"/>
  <c r="L134" i="18" s="1"/>
  <c r="I68" i="18"/>
  <c r="J68" i="18" s="1"/>
  <c r="L68" i="18" s="1"/>
  <c r="I121" i="18"/>
  <c r="J121" i="18" s="1"/>
  <c r="L121" i="18" s="1"/>
  <c r="I83" i="18"/>
  <c r="J83" i="18" s="1"/>
  <c r="L83" i="18" s="1"/>
  <c r="I182" i="18"/>
  <c r="J182" i="18" s="1"/>
  <c r="L182" i="18" s="1"/>
  <c r="I50" i="18"/>
  <c r="J50" i="18" s="1"/>
  <c r="L50" i="18" s="1"/>
  <c r="I202" i="18"/>
  <c r="J202" i="18" s="1"/>
  <c r="L202" i="18" s="1"/>
  <c r="I162" i="18"/>
  <c r="J162" i="18" s="1"/>
  <c r="L162" i="18" s="1"/>
  <c r="I185" i="18"/>
  <c r="J185" i="18" s="1"/>
  <c r="L185" i="18" s="1"/>
  <c r="I57" i="18"/>
  <c r="J57" i="18" s="1"/>
  <c r="L57" i="18" s="1"/>
  <c r="I29" i="18"/>
  <c r="J29" i="18" s="1"/>
  <c r="L29" i="18" s="1"/>
  <c r="I60" i="18"/>
  <c r="J60" i="18" s="1"/>
  <c r="L60" i="18" s="1"/>
  <c r="I75" i="18"/>
  <c r="J75" i="18" s="1"/>
  <c r="L75" i="18" s="1"/>
  <c r="I58" i="18"/>
  <c r="J58" i="18" s="1"/>
  <c r="L58" i="18" s="1"/>
  <c r="I41" i="18"/>
  <c r="J41" i="18" s="1"/>
  <c r="L41" i="18" s="1"/>
  <c r="I113" i="18"/>
  <c r="J113" i="18" s="1"/>
  <c r="L113" i="18" s="1"/>
  <c r="I85" i="18"/>
  <c r="J85" i="18" s="1"/>
  <c r="L85" i="18" s="1"/>
  <c r="I127" i="18"/>
  <c r="J127" i="18" s="1"/>
  <c r="L127" i="18" s="1"/>
  <c r="I184" i="18"/>
  <c r="J184" i="18" s="1"/>
  <c r="L184" i="18" s="1"/>
  <c r="I38" i="18"/>
  <c r="J38" i="18" s="1"/>
  <c r="L38" i="18" s="1"/>
  <c r="I52" i="18"/>
  <c r="J52" i="18" s="1"/>
  <c r="L52" i="18" s="1"/>
  <c r="I143" i="18"/>
  <c r="J143" i="18" s="1"/>
  <c r="L143" i="18" s="1"/>
  <c r="I165" i="18"/>
  <c r="J165" i="18" s="1"/>
  <c r="L165" i="18" s="1"/>
  <c r="I105" i="18"/>
  <c r="J105" i="18" s="1"/>
  <c r="L105" i="18" s="1"/>
  <c r="I35" i="18"/>
  <c r="J35" i="18" s="1"/>
  <c r="L35" i="18" s="1"/>
  <c r="I203" i="18"/>
  <c r="J203" i="18" s="1"/>
  <c r="L203" i="18" s="1"/>
  <c r="I159" i="18"/>
  <c r="J159" i="18" s="1"/>
  <c r="L159" i="18" s="1"/>
  <c r="I26" i="18"/>
  <c r="J26" i="18" s="1"/>
  <c r="L26" i="18" s="1"/>
  <c r="I90" i="18"/>
  <c r="J90" i="18" s="1"/>
  <c r="L90" i="18" s="1"/>
  <c r="I63" i="18"/>
  <c r="J63" i="18" s="1"/>
  <c r="L63" i="18" s="1"/>
  <c r="I95" i="18"/>
  <c r="J95" i="18" s="1"/>
  <c r="L95" i="18" s="1"/>
  <c r="I168" i="18"/>
  <c r="J168" i="18" s="1"/>
  <c r="L168" i="18" s="1"/>
  <c r="I81" i="18"/>
  <c r="J81" i="18" s="1"/>
  <c r="L81" i="18" s="1"/>
  <c r="I40" i="18"/>
  <c r="J40" i="18" s="1"/>
  <c r="L40" i="18" s="1"/>
  <c r="I73" i="18"/>
  <c r="J73" i="18" s="1"/>
  <c r="L73" i="18" s="1"/>
  <c r="I176" i="18"/>
  <c r="J176" i="18" s="1"/>
  <c r="L176" i="18" s="1"/>
  <c r="I173" i="18"/>
  <c r="J173" i="18" s="1"/>
  <c r="L173" i="18" s="1"/>
  <c r="I92" i="18"/>
  <c r="J92" i="18" s="1"/>
  <c r="L92" i="18" s="1"/>
  <c r="I116" i="18"/>
  <c r="J116" i="18" s="1"/>
  <c r="L116" i="18" s="1"/>
  <c r="I208" i="18"/>
  <c r="J208" i="18" s="1"/>
  <c r="L208" i="18" s="1"/>
  <c r="I44" i="18"/>
  <c r="J44" i="18" s="1"/>
  <c r="L44" i="18" s="1"/>
  <c r="I51" i="18"/>
  <c r="J51" i="18" s="1"/>
  <c r="L51" i="18" s="1"/>
  <c r="I66" i="18"/>
  <c r="J66" i="18" s="1"/>
  <c r="L66" i="18" s="1"/>
  <c r="I131" i="18"/>
  <c r="J131" i="18" s="1"/>
  <c r="L131" i="18" s="1"/>
  <c r="I126" i="18"/>
  <c r="J126" i="18" s="1"/>
  <c r="L126" i="18" s="1"/>
  <c r="I135" i="18"/>
  <c r="J135" i="18" s="1"/>
  <c r="L135" i="18" s="1"/>
  <c r="I72" i="18"/>
  <c r="J72" i="18" s="1"/>
  <c r="L72" i="18" s="1"/>
  <c r="I129" i="18"/>
  <c r="J129" i="18" s="1"/>
  <c r="L129" i="18" s="1"/>
  <c r="F14" i="29"/>
  <c r="I71" i="18"/>
  <c r="J71" i="18" s="1"/>
  <c r="L71" i="18" s="1"/>
  <c r="I167" i="18"/>
  <c r="J167" i="18" s="1"/>
  <c r="L167" i="18" s="1"/>
  <c r="I74" i="18"/>
  <c r="J74" i="18" s="1"/>
  <c r="L74" i="18" s="1"/>
  <c r="I157" i="18"/>
  <c r="J157" i="18" s="1"/>
  <c r="L157" i="18" s="1"/>
  <c r="I196" i="18"/>
  <c r="J196" i="18" s="1"/>
  <c r="L196" i="18" s="1"/>
  <c r="I164" i="18"/>
  <c r="J164" i="18" s="1"/>
  <c r="L164" i="18" s="1"/>
  <c r="I161" i="18"/>
  <c r="J161" i="18" s="1"/>
  <c r="L161" i="18" s="1"/>
  <c r="I20" i="18"/>
  <c r="J20" i="18" s="1"/>
  <c r="I56" i="18"/>
  <c r="J56" i="18" s="1"/>
  <c r="I79" i="18"/>
  <c r="J79" i="18" s="1"/>
  <c r="L79" i="18" s="1"/>
  <c r="I55" i="18"/>
  <c r="J55" i="18" s="1"/>
  <c r="L55" i="18" s="1"/>
  <c r="I194" i="18"/>
  <c r="J194" i="18" s="1"/>
  <c r="L194" i="18" s="1"/>
  <c r="I30" i="18"/>
  <c r="J30" i="18" s="1"/>
  <c r="L30" i="18" s="1"/>
  <c r="I80" i="18"/>
  <c r="J80" i="18" s="1"/>
  <c r="L80" i="18" s="1"/>
  <c r="I49" i="18"/>
  <c r="J49" i="18" s="1"/>
  <c r="L49" i="18" s="1"/>
  <c r="I106" i="18"/>
  <c r="J106" i="18" s="1"/>
  <c r="L106" i="18" s="1"/>
  <c r="I70" i="18"/>
  <c r="J70" i="18" s="1"/>
  <c r="L70" i="18" s="1"/>
  <c r="I183" i="18"/>
  <c r="J183" i="18" s="1"/>
  <c r="L183" i="18" s="1"/>
  <c r="I59" i="18"/>
  <c r="J59" i="18" s="1"/>
  <c r="L59" i="18" s="1"/>
  <c r="I111" i="18"/>
  <c r="J111" i="18" s="1"/>
  <c r="L111" i="18" s="1"/>
  <c r="I109" i="18"/>
  <c r="J109" i="18" s="1"/>
  <c r="L109" i="18" s="1"/>
  <c r="I201" i="18"/>
  <c r="J201" i="18" s="1"/>
  <c r="L201" i="18" s="1"/>
  <c r="I23" i="18"/>
  <c r="J23" i="18" s="1"/>
  <c r="L23" i="18" s="1"/>
  <c r="I53" i="18"/>
  <c r="J53" i="18" s="1"/>
  <c r="L53" i="18" s="1"/>
  <c r="I123" i="18"/>
  <c r="J123" i="18" s="1"/>
  <c r="L123" i="18" s="1"/>
  <c r="I32" i="18"/>
  <c r="J32" i="18" s="1"/>
  <c r="L32" i="18" s="1"/>
  <c r="I195" i="18"/>
  <c r="J195" i="18" s="1"/>
  <c r="L195" i="18" s="1"/>
  <c r="I149" i="18"/>
  <c r="J149" i="18" s="1"/>
  <c r="L149" i="18" s="1"/>
  <c r="I154" i="18"/>
  <c r="J154" i="18" s="1"/>
  <c r="L154" i="18" s="1"/>
  <c r="I61" i="18"/>
  <c r="J61" i="18" s="1"/>
  <c r="L61" i="18" s="1"/>
  <c r="I22" i="18"/>
  <c r="J22" i="18" s="1"/>
  <c r="L22" i="18" s="1"/>
  <c r="I33" i="18"/>
  <c r="J33" i="18" s="1"/>
  <c r="L33" i="18" s="1"/>
  <c r="I65" i="18"/>
  <c r="J65" i="18" s="1"/>
  <c r="L65" i="18" s="1"/>
  <c r="I153" i="18"/>
  <c r="J153" i="18" s="1"/>
  <c r="L153" i="18" s="1"/>
  <c r="I172" i="18"/>
  <c r="J172" i="18" s="1"/>
  <c r="L172" i="18" s="1"/>
  <c r="I43" i="18"/>
  <c r="J43" i="18" s="1"/>
  <c r="L43" i="18" s="1"/>
  <c r="I104" i="18"/>
  <c r="J104" i="18" s="1"/>
  <c r="L104" i="18" s="1"/>
  <c r="I205" i="18"/>
  <c r="J205" i="18" s="1"/>
  <c r="L205" i="18" s="1"/>
  <c r="I87" i="18"/>
  <c r="J87" i="18" s="1"/>
  <c r="L87" i="18" s="1"/>
  <c r="I128" i="18"/>
  <c r="J128" i="18" s="1"/>
  <c r="L128" i="18" s="1"/>
  <c r="I103" i="18"/>
  <c r="J103" i="18" s="1"/>
  <c r="L103" i="18" s="1"/>
  <c r="I118" i="18"/>
  <c r="J118" i="18" s="1"/>
  <c r="L118" i="18" s="1"/>
  <c r="I174" i="18"/>
  <c r="J174" i="18" s="1"/>
  <c r="L174" i="18" s="1"/>
  <c r="I76" i="18"/>
  <c r="J76" i="18" s="1"/>
  <c r="L76" i="18" s="1"/>
  <c r="I62" i="18"/>
  <c r="J62" i="18" s="1"/>
  <c r="L62" i="18" s="1"/>
  <c r="I125" i="18"/>
  <c r="J125" i="18" s="1"/>
  <c r="L125" i="18" s="1"/>
  <c r="I148" i="18"/>
  <c r="J148" i="18" s="1"/>
  <c r="L148" i="18" s="1"/>
  <c r="I158" i="18"/>
  <c r="J158" i="18" s="1"/>
  <c r="L158" i="18" s="1"/>
  <c r="I138" i="18"/>
  <c r="J138" i="18" s="1"/>
  <c r="L138" i="18" s="1"/>
  <c r="I89" i="18"/>
  <c r="J89" i="18" s="1"/>
  <c r="L89" i="18" s="1"/>
  <c r="I24" i="18"/>
  <c r="J24" i="18" s="1"/>
  <c r="L24" i="18" s="1"/>
  <c r="I147" i="18"/>
  <c r="J147" i="18" s="1"/>
  <c r="L147" i="18" s="1"/>
  <c r="I155" i="18"/>
  <c r="J155" i="18" s="1"/>
  <c r="L155" i="18" s="1"/>
  <c r="I209" i="18"/>
  <c r="J209" i="18" s="1"/>
  <c r="L209" i="18" s="1"/>
  <c r="I96" i="18"/>
  <c r="J96" i="18" s="1"/>
  <c r="L96" i="18" s="1"/>
  <c r="I198" i="18"/>
  <c r="J198" i="18" s="1"/>
  <c r="L198" i="18" s="1"/>
  <c r="I146" i="18"/>
  <c r="J146" i="18" s="1"/>
  <c r="L146" i="18" s="1"/>
  <c r="I31" i="18"/>
  <c r="J31" i="18" s="1"/>
  <c r="L31" i="18" s="1"/>
  <c r="I175" i="18"/>
  <c r="J175" i="18" s="1"/>
  <c r="L175" i="18" s="1"/>
  <c r="I189" i="18"/>
  <c r="J189" i="18" s="1"/>
  <c r="L189" i="18" s="1"/>
  <c r="I133" i="18"/>
  <c r="J133" i="18" s="1"/>
  <c r="L133" i="18" s="1"/>
  <c r="I94" i="18"/>
  <c r="J94" i="18" s="1"/>
  <c r="L94" i="18" s="1"/>
  <c r="I130" i="18"/>
  <c r="J130" i="18" s="1"/>
  <c r="L130" i="18" s="1"/>
  <c r="I204" i="18"/>
  <c r="J204" i="18" s="1"/>
  <c r="L204" i="18" s="1"/>
  <c r="I97" i="18"/>
  <c r="J97" i="18" s="1"/>
  <c r="L97" i="18" s="1"/>
  <c r="I78" i="18"/>
  <c r="J78" i="18" s="1"/>
  <c r="L78" i="18" s="1"/>
  <c r="I25" i="18"/>
  <c r="J25" i="18" s="1"/>
  <c r="L25" i="18" s="1"/>
  <c r="I110" i="18"/>
  <c r="J110" i="18" s="1"/>
  <c r="L110" i="18" s="1"/>
  <c r="I206" i="18"/>
  <c r="J206" i="18" s="1"/>
  <c r="L206" i="18" s="1"/>
  <c r="I186" i="18"/>
  <c r="J186" i="18" s="1"/>
  <c r="L186" i="18" s="1"/>
  <c r="I108" i="18"/>
  <c r="J108" i="18" s="1"/>
  <c r="L108" i="18" s="1"/>
  <c r="I150" i="18"/>
  <c r="J150" i="18" s="1"/>
  <c r="L150" i="18" s="1"/>
  <c r="I64" i="18"/>
  <c r="J64" i="18" s="1"/>
  <c r="L64" i="18" s="1"/>
  <c r="I91" i="18"/>
  <c r="J91" i="18" s="1"/>
  <c r="L91" i="18" s="1"/>
  <c r="I199" i="18"/>
  <c r="J199" i="18" s="1"/>
  <c r="L199" i="18" s="1"/>
  <c r="I54" i="18"/>
  <c r="J54" i="18" s="1"/>
  <c r="L54" i="18" s="1"/>
  <c r="I210" i="18"/>
  <c r="J210" i="18" s="1"/>
  <c r="L210" i="18" s="1"/>
  <c r="I152" i="18"/>
  <c r="J152" i="18" s="1"/>
  <c r="L152" i="18" s="1"/>
  <c r="I191" i="18"/>
  <c r="J191" i="18" s="1"/>
  <c r="L191" i="18" s="1"/>
  <c r="I192" i="18"/>
  <c r="J192" i="18" s="1"/>
  <c r="L192" i="18" s="1"/>
  <c r="I42" i="18"/>
  <c r="J42" i="18" s="1"/>
  <c r="L42" i="18" s="1"/>
  <c r="I115" i="18"/>
  <c r="J115" i="18" s="1"/>
  <c r="L115" i="18" s="1"/>
  <c r="I34" i="18"/>
  <c r="J34" i="18" s="1"/>
  <c r="L34" i="18" s="1"/>
  <c r="I93" i="18"/>
  <c r="J93" i="18" s="1"/>
  <c r="L93" i="18" s="1"/>
  <c r="I45" i="18"/>
  <c r="J45" i="18" s="1"/>
  <c r="L45" i="18" s="1"/>
  <c r="I86" i="18"/>
  <c r="J86" i="18" s="1"/>
  <c r="L86" i="18" s="1"/>
  <c r="I132" i="18"/>
  <c r="J132" i="18" s="1"/>
  <c r="L132" i="18" s="1"/>
  <c r="I47" i="18"/>
  <c r="J47" i="18" s="1"/>
  <c r="L47" i="18" s="1"/>
  <c r="I139" i="18"/>
  <c r="J139" i="18" s="1"/>
  <c r="L139" i="18" s="1"/>
  <c r="I107" i="18"/>
  <c r="J107" i="18" s="1"/>
  <c r="L107" i="18" s="1"/>
  <c r="I37" i="18"/>
  <c r="J37" i="18" s="1"/>
  <c r="L37" i="18" s="1"/>
  <c r="I137" i="18"/>
  <c r="J137" i="18" s="1"/>
  <c r="L137" i="18" s="1"/>
  <c r="I166" i="18"/>
  <c r="J166" i="18" s="1"/>
  <c r="L166" i="18" s="1"/>
  <c r="I46" i="18"/>
  <c r="J46" i="18" s="1"/>
  <c r="L46" i="18" s="1"/>
  <c r="I114" i="18"/>
  <c r="J114" i="18" s="1"/>
  <c r="L114" i="18" s="1"/>
  <c r="I178" i="18"/>
  <c r="J178" i="18" s="1"/>
  <c r="L178" i="18" s="1"/>
  <c r="I28" i="18"/>
  <c r="J28" i="18" s="1"/>
  <c r="L28" i="18" s="1"/>
  <c r="I188" i="18"/>
  <c r="J188" i="18" s="1"/>
  <c r="L188" i="18" s="1"/>
  <c r="I101" i="18"/>
  <c r="J101" i="18" s="1"/>
  <c r="L101" i="18" s="1"/>
  <c r="I117" i="18"/>
  <c r="J117" i="18" s="1"/>
  <c r="L117" i="18" s="1"/>
  <c r="I67" i="18"/>
  <c r="J67" i="18" s="1"/>
  <c r="L67" i="18" s="1"/>
  <c r="I145" i="18"/>
  <c r="J145" i="18" s="1"/>
  <c r="L145" i="18" s="1"/>
  <c r="I171" i="18"/>
  <c r="J171" i="18" s="1"/>
  <c r="L171" i="18" s="1"/>
  <c r="I180" i="18"/>
  <c r="J180" i="18" s="1"/>
  <c r="L180" i="18" s="1"/>
  <c r="I200" i="18"/>
  <c r="J200" i="18" s="1"/>
  <c r="L200" i="18" s="1"/>
  <c r="I144" i="18"/>
  <c r="J144" i="18" s="1"/>
  <c r="L144" i="18" s="1"/>
  <c r="I151" i="18"/>
  <c r="J151" i="18" s="1"/>
  <c r="L151" i="18" s="1"/>
  <c r="I177" i="18"/>
  <c r="J177" i="18" s="1"/>
  <c r="L177" i="18" s="1"/>
  <c r="I187" i="18"/>
  <c r="J187" i="18" s="1"/>
  <c r="L187" i="18" s="1"/>
  <c r="I124" i="18"/>
  <c r="J124" i="18" s="1"/>
  <c r="L124" i="18" s="1"/>
  <c r="J13" i="18" l="1"/>
  <c r="L56" i="18"/>
  <c r="J212" i="18"/>
  <c r="L20" i="18"/>
  <c r="J14" i="18"/>
  <c r="L212" i="18" l="1"/>
  <c r="L14" i="18"/>
  <c r="L13" i="18"/>
  <c r="M85" i="18" l="1"/>
  <c r="N85" i="18" s="1"/>
  <c r="R85" i="18" s="1"/>
  <c r="M149" i="18"/>
  <c r="N149" i="18" s="1"/>
  <c r="R149" i="18" s="1"/>
  <c r="M181" i="18"/>
  <c r="N181" i="18" s="1"/>
  <c r="R181" i="18" s="1"/>
  <c r="M128" i="18"/>
  <c r="N128" i="18" s="1"/>
  <c r="R128" i="18" s="1"/>
  <c r="M22" i="18"/>
  <c r="N22" i="18" s="1"/>
  <c r="R22" i="18" s="1"/>
  <c r="M34" i="18"/>
  <c r="N34" i="18" s="1"/>
  <c r="R34" i="18" s="1"/>
  <c r="M115" i="18"/>
  <c r="N115" i="18" s="1"/>
  <c r="R115" i="18" s="1"/>
  <c r="M108" i="18"/>
  <c r="N108" i="18" s="1"/>
  <c r="R108" i="18" s="1"/>
  <c r="M69" i="18"/>
  <c r="N69" i="18" s="1"/>
  <c r="R69" i="18" s="1"/>
  <c r="M165" i="18"/>
  <c r="N165" i="18" s="1"/>
  <c r="R165" i="18" s="1"/>
  <c r="M132" i="18"/>
  <c r="N132" i="18" s="1"/>
  <c r="R132" i="18" s="1"/>
  <c r="M48" i="18"/>
  <c r="N48" i="18" s="1"/>
  <c r="R48" i="18" s="1"/>
  <c r="M76" i="18"/>
  <c r="N76" i="18" s="1"/>
  <c r="R76" i="18" s="1"/>
  <c r="M51" i="18"/>
  <c r="N51" i="18" s="1"/>
  <c r="R51" i="18" s="1"/>
  <c r="M197" i="18"/>
  <c r="N197" i="18" s="1"/>
  <c r="R197" i="18" s="1"/>
  <c r="M117" i="18"/>
  <c r="N117" i="18" s="1"/>
  <c r="R117" i="18" s="1"/>
  <c r="M56" i="18"/>
  <c r="M177" i="18"/>
  <c r="N177" i="18" s="1"/>
  <c r="R177" i="18" s="1"/>
  <c r="M59" i="18"/>
  <c r="N59" i="18" s="1"/>
  <c r="R59" i="18" s="1"/>
  <c r="M44" i="18"/>
  <c r="N44" i="18" s="1"/>
  <c r="R44" i="18" s="1"/>
  <c r="M40" i="18"/>
  <c r="N40" i="18" s="1"/>
  <c r="R40" i="18" s="1"/>
  <c r="M196" i="18"/>
  <c r="N196" i="18" s="1"/>
  <c r="R196" i="18" s="1"/>
  <c r="M61" i="18"/>
  <c r="N61" i="18" s="1"/>
  <c r="R61" i="18" s="1"/>
  <c r="M125" i="18"/>
  <c r="N125" i="18" s="1"/>
  <c r="R125" i="18" s="1"/>
  <c r="M157" i="18"/>
  <c r="N157" i="18" s="1"/>
  <c r="R157" i="18" s="1"/>
  <c r="M103" i="18"/>
  <c r="N103" i="18" s="1"/>
  <c r="R103" i="18" s="1"/>
  <c r="M49" i="18"/>
  <c r="N49" i="18" s="1"/>
  <c r="R49" i="18" s="1"/>
  <c r="M209" i="18"/>
  <c r="N209" i="18" s="1"/>
  <c r="R209" i="18" s="1"/>
  <c r="M98" i="18"/>
  <c r="N98" i="18" s="1"/>
  <c r="R98" i="18" s="1"/>
  <c r="M194" i="18"/>
  <c r="N194" i="18" s="1"/>
  <c r="R194" i="18" s="1"/>
  <c r="M147" i="18"/>
  <c r="N147" i="18" s="1"/>
  <c r="R147" i="18" s="1"/>
  <c r="M72" i="18"/>
  <c r="N72" i="18" s="1"/>
  <c r="R72" i="18" s="1"/>
  <c r="M204" i="18"/>
  <c r="N204" i="18" s="1"/>
  <c r="R204" i="18" s="1"/>
  <c r="M36" i="18"/>
  <c r="N36" i="18" s="1"/>
  <c r="R36" i="18" s="1"/>
  <c r="M68" i="18"/>
  <c r="N68" i="18" s="1"/>
  <c r="R68" i="18" s="1"/>
  <c r="M100" i="18"/>
  <c r="N100" i="18" s="1"/>
  <c r="R100" i="18" s="1"/>
  <c r="M164" i="18"/>
  <c r="N164" i="18" s="1"/>
  <c r="R164" i="18" s="1"/>
  <c r="M24" i="18"/>
  <c r="N24" i="18" s="1"/>
  <c r="R24" i="18" s="1"/>
  <c r="M93" i="18"/>
  <c r="N93" i="18" s="1"/>
  <c r="R93" i="18" s="1"/>
  <c r="M189" i="18"/>
  <c r="N189" i="18" s="1"/>
  <c r="R189" i="18" s="1"/>
  <c r="M67" i="18"/>
  <c r="N67" i="18" s="1"/>
  <c r="R67" i="18" s="1"/>
  <c r="M86" i="18"/>
  <c r="N86" i="18" s="1"/>
  <c r="R86" i="18" s="1"/>
  <c r="M118" i="18"/>
  <c r="N118" i="18" s="1"/>
  <c r="R118" i="18" s="1"/>
  <c r="M150" i="18"/>
  <c r="N150" i="18" s="1"/>
  <c r="R150" i="18" s="1"/>
  <c r="M182" i="18"/>
  <c r="N182" i="18" s="1"/>
  <c r="R182" i="18" s="1"/>
  <c r="M79" i="18"/>
  <c r="N79" i="18" s="1"/>
  <c r="R79" i="18" s="1"/>
  <c r="M63" i="18"/>
  <c r="N63" i="18" s="1"/>
  <c r="R63" i="18" s="1"/>
  <c r="M184" i="18"/>
  <c r="N184" i="18" s="1"/>
  <c r="R184" i="18" s="1"/>
  <c r="M81" i="18"/>
  <c r="N81" i="18" s="1"/>
  <c r="R81" i="18" s="1"/>
  <c r="M145" i="18"/>
  <c r="N145" i="18" s="1"/>
  <c r="R145" i="18" s="1"/>
  <c r="M66" i="18"/>
  <c r="N66" i="18" s="1"/>
  <c r="R66" i="18" s="1"/>
  <c r="M162" i="18"/>
  <c r="N162" i="18" s="1"/>
  <c r="R162" i="18" s="1"/>
  <c r="M211" i="18"/>
  <c r="N211" i="18" s="1"/>
  <c r="R211" i="18" s="1"/>
  <c r="M172" i="18"/>
  <c r="N172" i="18" s="1"/>
  <c r="R172" i="18" s="1"/>
  <c r="M133" i="18"/>
  <c r="N133" i="18" s="1"/>
  <c r="R133" i="18" s="1"/>
  <c r="M54" i="18"/>
  <c r="N54" i="18" s="1"/>
  <c r="R54" i="18" s="1"/>
  <c r="M96" i="18"/>
  <c r="N96" i="18" s="1"/>
  <c r="R96" i="18" s="1"/>
  <c r="M113" i="18"/>
  <c r="N113" i="18" s="1"/>
  <c r="R113" i="18" s="1"/>
  <c r="M192" i="18"/>
  <c r="N192" i="18" s="1"/>
  <c r="R192" i="18" s="1"/>
  <c r="M130" i="18"/>
  <c r="N130" i="18" s="1"/>
  <c r="R130" i="18" s="1"/>
  <c r="M95" i="18"/>
  <c r="N95" i="18" s="1"/>
  <c r="R95" i="18" s="1"/>
  <c r="M179" i="18"/>
  <c r="N179" i="18" s="1"/>
  <c r="R179" i="18" s="1"/>
  <c r="M83" i="18"/>
  <c r="N83" i="18" s="1"/>
  <c r="R83" i="18" s="1"/>
  <c r="M140" i="18"/>
  <c r="N140" i="18" s="1"/>
  <c r="R140" i="18" s="1"/>
  <c r="M101" i="18"/>
  <c r="N101" i="18" s="1"/>
  <c r="R101" i="18" s="1"/>
  <c r="M20" i="18"/>
  <c r="M135" i="18"/>
  <c r="N135" i="18" s="1"/>
  <c r="R135" i="18" s="1"/>
  <c r="M55" i="18"/>
  <c r="N55" i="18" s="1"/>
  <c r="R55" i="18" s="1"/>
  <c r="M87" i="18"/>
  <c r="N87" i="18" s="1"/>
  <c r="R87" i="18" s="1"/>
  <c r="M21" i="18"/>
  <c r="N21" i="18" s="1"/>
  <c r="R21" i="18" s="1"/>
  <c r="M203" i="18"/>
  <c r="N203" i="18" s="1"/>
  <c r="R203" i="18" s="1"/>
  <c r="M154" i="18"/>
  <c r="N154" i="18" s="1"/>
  <c r="R154" i="18" s="1"/>
  <c r="M137" i="18"/>
  <c r="N137" i="18" s="1"/>
  <c r="R137" i="18" s="1"/>
  <c r="M174" i="18"/>
  <c r="N174" i="18" s="1"/>
  <c r="R174" i="18" s="1"/>
  <c r="M47" i="18"/>
  <c r="N47" i="18" s="1"/>
  <c r="R47" i="18" s="1"/>
  <c r="M60" i="18"/>
  <c r="N60" i="18" s="1"/>
  <c r="R60" i="18" s="1"/>
  <c r="M144" i="18"/>
  <c r="N144" i="18" s="1"/>
  <c r="R144" i="18" s="1"/>
  <c r="M33" i="18"/>
  <c r="N33" i="18" s="1"/>
  <c r="R33" i="18" s="1"/>
  <c r="M168" i="18"/>
  <c r="N168" i="18" s="1"/>
  <c r="R168" i="18" s="1"/>
  <c r="M38" i="18"/>
  <c r="N38" i="18" s="1"/>
  <c r="R38" i="18" s="1"/>
  <c r="M109" i="18"/>
  <c r="N109" i="18" s="1"/>
  <c r="R109" i="18" s="1"/>
  <c r="M84" i="18"/>
  <c r="N84" i="18" s="1"/>
  <c r="R84" i="18" s="1"/>
  <c r="M170" i="18"/>
  <c r="N170" i="18" s="1"/>
  <c r="R170" i="18" s="1"/>
  <c r="M143" i="18"/>
  <c r="N143" i="18" s="1"/>
  <c r="R143" i="18" s="1"/>
  <c r="M90" i="18"/>
  <c r="N90" i="18" s="1"/>
  <c r="R90" i="18" s="1"/>
  <c r="M112" i="18"/>
  <c r="N112" i="18" s="1"/>
  <c r="R112" i="18" s="1"/>
  <c r="M210" i="18"/>
  <c r="N210" i="18" s="1"/>
  <c r="R210" i="18" s="1"/>
  <c r="M167" i="18"/>
  <c r="N167" i="18" s="1"/>
  <c r="R167" i="18" s="1"/>
  <c r="M27" i="18"/>
  <c r="N27" i="18" s="1"/>
  <c r="R27" i="18" s="1"/>
  <c r="M78" i="18"/>
  <c r="N78" i="18" s="1"/>
  <c r="R78" i="18" s="1"/>
  <c r="M198" i="18"/>
  <c r="N198" i="18" s="1"/>
  <c r="R198" i="18" s="1"/>
  <c r="M75" i="18"/>
  <c r="N75" i="18" s="1"/>
  <c r="R75" i="18" s="1"/>
  <c r="M131" i="18"/>
  <c r="N131" i="18" s="1"/>
  <c r="R131" i="18" s="1"/>
  <c r="M148" i="18"/>
  <c r="N148" i="18" s="1"/>
  <c r="R148" i="18" s="1"/>
  <c r="M120" i="18"/>
  <c r="N120" i="18" s="1"/>
  <c r="R120" i="18" s="1"/>
  <c r="M202" i="18"/>
  <c r="N202" i="18" s="1"/>
  <c r="R202" i="18" s="1"/>
  <c r="M185" i="18"/>
  <c r="N185" i="18" s="1"/>
  <c r="R185" i="18" s="1"/>
  <c r="M127" i="18"/>
  <c r="N127" i="18" s="1"/>
  <c r="R127" i="18" s="1"/>
  <c r="M104" i="18"/>
  <c r="N104" i="18" s="1"/>
  <c r="R104" i="18" s="1"/>
  <c r="M171" i="18"/>
  <c r="N171" i="18" s="1"/>
  <c r="R171" i="18" s="1"/>
  <c r="M122" i="18"/>
  <c r="N122" i="18" s="1"/>
  <c r="R122" i="18" s="1"/>
  <c r="M105" i="18"/>
  <c r="N105" i="18" s="1"/>
  <c r="R105" i="18" s="1"/>
  <c r="M142" i="18"/>
  <c r="N142" i="18" s="1"/>
  <c r="R142" i="18" s="1"/>
  <c r="M53" i="18"/>
  <c r="N53" i="18" s="1"/>
  <c r="R53" i="18" s="1"/>
  <c r="M28" i="18"/>
  <c r="N28" i="18" s="1"/>
  <c r="R28" i="18" s="1"/>
  <c r="M175" i="18"/>
  <c r="N175" i="18" s="1"/>
  <c r="R175" i="18" s="1"/>
  <c r="M119" i="18"/>
  <c r="N119" i="18" s="1"/>
  <c r="R119" i="18" s="1"/>
  <c r="M151" i="18"/>
  <c r="N151" i="18" s="1"/>
  <c r="R151" i="18" s="1"/>
  <c r="M29" i="18"/>
  <c r="N29" i="18" s="1"/>
  <c r="R29" i="18" s="1"/>
  <c r="M77" i="18"/>
  <c r="N77" i="18" s="1"/>
  <c r="R77" i="18" s="1"/>
  <c r="M52" i="18"/>
  <c r="N52" i="18" s="1"/>
  <c r="R52" i="18" s="1"/>
  <c r="M153" i="18"/>
  <c r="N153" i="18" s="1"/>
  <c r="R153" i="18" s="1"/>
  <c r="M190" i="18"/>
  <c r="N190" i="18" s="1"/>
  <c r="R190" i="18" s="1"/>
  <c r="M139" i="18"/>
  <c r="N139" i="18" s="1"/>
  <c r="R139" i="18" s="1"/>
  <c r="M110" i="18"/>
  <c r="N110" i="18" s="1"/>
  <c r="R110" i="18" s="1"/>
  <c r="M152" i="18"/>
  <c r="N152" i="18" s="1"/>
  <c r="R152" i="18" s="1"/>
  <c r="M193" i="18"/>
  <c r="N193" i="18" s="1"/>
  <c r="R193" i="18" s="1"/>
  <c r="M45" i="18"/>
  <c r="N45" i="18" s="1"/>
  <c r="R45" i="18" s="1"/>
  <c r="M158" i="18"/>
  <c r="N158" i="18" s="1"/>
  <c r="R158" i="18" s="1"/>
  <c r="M107" i="18"/>
  <c r="N107" i="18" s="1"/>
  <c r="R107" i="18" s="1"/>
  <c r="M58" i="18"/>
  <c r="N58" i="18" s="1"/>
  <c r="R58" i="18" s="1"/>
  <c r="M41" i="18"/>
  <c r="N41" i="18" s="1"/>
  <c r="R41" i="18" s="1"/>
  <c r="M199" i="18"/>
  <c r="N199" i="18" s="1"/>
  <c r="R199" i="18" s="1"/>
  <c r="M159" i="18"/>
  <c r="N159" i="18" s="1"/>
  <c r="R159" i="18" s="1"/>
  <c r="M178" i="18"/>
  <c r="N178" i="18" s="1"/>
  <c r="R178" i="18" s="1"/>
  <c r="M161" i="18"/>
  <c r="N161" i="18" s="1"/>
  <c r="R161" i="18" s="1"/>
  <c r="M191" i="18"/>
  <c r="N191" i="18" s="1"/>
  <c r="R191" i="18" s="1"/>
  <c r="M26" i="18"/>
  <c r="N26" i="18" s="1"/>
  <c r="R26" i="18" s="1"/>
  <c r="M176" i="18"/>
  <c r="N176" i="18" s="1"/>
  <c r="R176" i="18" s="1"/>
  <c r="M46" i="18"/>
  <c r="N46" i="18" s="1"/>
  <c r="R46" i="18" s="1"/>
  <c r="M146" i="18"/>
  <c r="N146" i="18" s="1"/>
  <c r="R146" i="18" s="1"/>
  <c r="M31" i="18"/>
  <c r="N31" i="18" s="1"/>
  <c r="R31" i="18" s="1"/>
  <c r="M94" i="18"/>
  <c r="N94" i="18" s="1"/>
  <c r="R94" i="18" s="1"/>
  <c r="M183" i="18"/>
  <c r="N183" i="18" s="1"/>
  <c r="R183" i="18" s="1"/>
  <c r="M156" i="18"/>
  <c r="N156" i="18" s="1"/>
  <c r="R156" i="18" s="1"/>
  <c r="M97" i="18"/>
  <c r="N97" i="18" s="1"/>
  <c r="R97" i="18" s="1"/>
  <c r="M91" i="18"/>
  <c r="N91" i="18" s="1"/>
  <c r="R91" i="18" s="1"/>
  <c r="M124" i="18"/>
  <c r="N124" i="18" s="1"/>
  <c r="R124" i="18" s="1"/>
  <c r="M111" i="18"/>
  <c r="N111" i="18" s="1"/>
  <c r="R111" i="18" s="1"/>
  <c r="M73" i="18"/>
  <c r="N73" i="18" s="1"/>
  <c r="R73" i="18" s="1"/>
  <c r="M88" i="18"/>
  <c r="N88" i="18" s="1"/>
  <c r="R88" i="18" s="1"/>
  <c r="M35" i="18"/>
  <c r="N35" i="18" s="1"/>
  <c r="R35" i="18" s="1"/>
  <c r="M188" i="18"/>
  <c r="N188" i="18" s="1"/>
  <c r="R188" i="18" s="1"/>
  <c r="M166" i="18"/>
  <c r="N166" i="18" s="1"/>
  <c r="R166" i="18" s="1"/>
  <c r="M57" i="18"/>
  <c r="N57" i="18" s="1"/>
  <c r="R57" i="18" s="1"/>
  <c r="M37" i="18"/>
  <c r="N37" i="18" s="1"/>
  <c r="R37" i="18" s="1"/>
  <c r="M134" i="18"/>
  <c r="N134" i="18" s="1"/>
  <c r="R134" i="18" s="1"/>
  <c r="M42" i="18"/>
  <c r="N42" i="18" s="1"/>
  <c r="R42" i="18" s="1"/>
  <c r="M39" i="18"/>
  <c r="N39" i="18" s="1"/>
  <c r="R39" i="18" s="1"/>
  <c r="M65" i="18"/>
  <c r="N65" i="18" s="1"/>
  <c r="R65" i="18" s="1"/>
  <c r="M187" i="18"/>
  <c r="N187" i="18" s="1"/>
  <c r="R187" i="18" s="1"/>
  <c r="M138" i="18"/>
  <c r="N138" i="18" s="1"/>
  <c r="R138" i="18" s="1"/>
  <c r="M121" i="18"/>
  <c r="N121" i="18" s="1"/>
  <c r="R121" i="18" s="1"/>
  <c r="M129" i="18"/>
  <c r="N129" i="18" s="1"/>
  <c r="R129" i="18" s="1"/>
  <c r="M71" i="18"/>
  <c r="N71" i="18" s="1"/>
  <c r="R71" i="18" s="1"/>
  <c r="M123" i="18"/>
  <c r="N123" i="18" s="1"/>
  <c r="R123" i="18" s="1"/>
  <c r="M64" i="18"/>
  <c r="N64" i="18" s="1"/>
  <c r="R64" i="18" s="1"/>
  <c r="M163" i="18"/>
  <c r="N163" i="18" s="1"/>
  <c r="R163" i="18" s="1"/>
  <c r="M180" i="18"/>
  <c r="N180" i="18" s="1"/>
  <c r="R180" i="18" s="1"/>
  <c r="M62" i="18"/>
  <c r="N62" i="18" s="1"/>
  <c r="R62" i="18" s="1"/>
  <c r="M23" i="18"/>
  <c r="N23" i="18" s="1"/>
  <c r="R23" i="18" s="1"/>
  <c r="M43" i="18"/>
  <c r="N43" i="18" s="1"/>
  <c r="R43" i="18" s="1"/>
  <c r="M102" i="18"/>
  <c r="N102" i="18" s="1"/>
  <c r="R102" i="18" s="1"/>
  <c r="M155" i="18"/>
  <c r="N155" i="18" s="1"/>
  <c r="R155" i="18" s="1"/>
  <c r="M106" i="18"/>
  <c r="N106" i="18" s="1"/>
  <c r="R106" i="18" s="1"/>
  <c r="M89" i="18"/>
  <c r="N89" i="18" s="1"/>
  <c r="R89" i="18" s="1"/>
  <c r="M126" i="18"/>
  <c r="N126" i="18" s="1"/>
  <c r="R126" i="18" s="1"/>
  <c r="M195" i="18"/>
  <c r="N195" i="18" s="1"/>
  <c r="R195" i="18" s="1"/>
  <c r="M173" i="18"/>
  <c r="N173" i="18" s="1"/>
  <c r="R173" i="18" s="1"/>
  <c r="M80" i="18"/>
  <c r="N80" i="18" s="1"/>
  <c r="R80" i="18" s="1"/>
  <c r="M208" i="18"/>
  <c r="N208" i="18" s="1"/>
  <c r="R208" i="18" s="1"/>
  <c r="M136" i="18"/>
  <c r="N136" i="18" s="1"/>
  <c r="R136" i="18" s="1"/>
  <c r="M30" i="18"/>
  <c r="N30" i="18" s="1"/>
  <c r="R30" i="18" s="1"/>
  <c r="M207" i="18"/>
  <c r="N207" i="18" s="1"/>
  <c r="R207" i="18" s="1"/>
  <c r="M186" i="18"/>
  <c r="N186" i="18" s="1"/>
  <c r="R186" i="18" s="1"/>
  <c r="M169" i="18"/>
  <c r="N169" i="18" s="1"/>
  <c r="R169" i="18" s="1"/>
  <c r="M206" i="18"/>
  <c r="N206" i="18" s="1"/>
  <c r="R206" i="18" s="1"/>
  <c r="M32" i="18"/>
  <c r="N32" i="18" s="1"/>
  <c r="R32" i="18" s="1"/>
  <c r="M92" i="18"/>
  <c r="N92" i="18" s="1"/>
  <c r="R92" i="18" s="1"/>
  <c r="M99" i="18"/>
  <c r="N99" i="18" s="1"/>
  <c r="R99" i="18" s="1"/>
  <c r="M50" i="18"/>
  <c r="N50" i="18" s="1"/>
  <c r="R50" i="18" s="1"/>
  <c r="M25" i="18"/>
  <c r="N25" i="18" s="1"/>
  <c r="R25" i="18" s="1"/>
  <c r="M70" i="18"/>
  <c r="N70" i="18" s="1"/>
  <c r="R70" i="18" s="1"/>
  <c r="M141" i="18"/>
  <c r="N141" i="18" s="1"/>
  <c r="R141" i="18" s="1"/>
  <c r="M116" i="18"/>
  <c r="N116" i="18" s="1"/>
  <c r="R116" i="18" s="1"/>
  <c r="M74" i="18"/>
  <c r="N74" i="18" s="1"/>
  <c r="R74" i="18" s="1"/>
  <c r="M160" i="18"/>
  <c r="N160" i="18" s="1"/>
  <c r="R160" i="18" s="1"/>
  <c r="M114" i="18"/>
  <c r="N114" i="18" s="1"/>
  <c r="R114" i="18" s="1"/>
  <c r="M205" i="18"/>
  <c r="N205" i="18" s="1"/>
  <c r="R205" i="18" s="1"/>
  <c r="M200" i="18"/>
  <c r="N200" i="18" s="1"/>
  <c r="R200" i="18" s="1"/>
  <c r="M201" i="18"/>
  <c r="N201" i="18" s="1"/>
  <c r="R201" i="18" s="1"/>
  <c r="M82" i="18"/>
  <c r="N82" i="18" s="1"/>
  <c r="R82" i="18" s="1"/>
  <c r="M212" i="18" l="1"/>
  <c r="N20" i="18"/>
  <c r="M13" i="18"/>
  <c r="N56" i="18"/>
  <c r="R20" i="18" l="1"/>
  <c r="N14" i="18"/>
  <c r="N13" i="18"/>
  <c r="R56" i="18"/>
  <c r="R13" i="18" s="1"/>
  <c r="R14" i="18" l="1"/>
  <c r="R2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<sst xmlns="http://schemas.openxmlformats.org/spreadsheetml/2006/main" count="441" uniqueCount="104">
  <si>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</si>
  <si>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</si>
  <si>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</si>
  <si>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</si>
  <si>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</si>
  <si>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</si>
  <si>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</si>
  <si>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</si>
  <si>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</si>
  <si>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</si>
  <si>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</si>
  <si>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</si>
  <si>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</si>
  <si>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</si>
  <si>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</si>
  <si>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</si>
  <si>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</si>
  <si>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</si>
  <si>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</si>
  <si>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</si>
  <si>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</si>
  <si>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</si>
  <si>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</si>
  <si>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</si>
  <si>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</si>
  <si>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</si>
  <si>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</si>
  <si>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</si>
  <si>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</si>
  <si>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</si>
  <si>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</si>
  <si>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</si>
  <si>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</si>
  <si>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</si>
  <si>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</si>
  <si>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</si>
  <si>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</si>
  <si>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</si>
  <si>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</si>
  <si>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</si>
  <si>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</si>
  <si>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</si>
  <si>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</si>
  <si>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</si>
  <si>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</si>
  <si>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</si>
  <si>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</si>
  <si>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</si>
  <si>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</si>
  <si>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</si>
  <si>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</si>
  <si>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</si>
  <si>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</si>
  <si>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</si>
  <si>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</si>
  <si>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</si>
  <si>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</si>
  <si>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</si>
  <si>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</si>
  <si>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</si>
  <si>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</si>
  <si>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</si>
  <si>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</si>
  <si>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</si>
  <si>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</si>
  <si>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</si>
  <si>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</si>
  <si>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</si>
  <si>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</si>
  <si>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</si>
  <si>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</si>
  <si>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</si>
  <si>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</si>
  <si>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</si>
  <si>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</si>
  <si>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</si>
  <si>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</si>
  <si>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</si>
  <si>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</si>
  <si>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</si>
  <si>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</si>
  <si>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</si>
  <si>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</si>
  <si>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</si>
  <si>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</si>
  <si>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</si>
  <si>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</si>
  <si>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</si>
  <si>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</si>
  <si>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</si>
  <si>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</si>
  <si>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</si>
  <si>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</si>
  <si>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</si>
  <si>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</si>
  <si>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AEPTCo Formula Rate -- FERC Docket ER18-195</t>
  </si>
  <si>
    <r>
      <t>2023 True-Up
(</t>
    </r>
    <r>
      <rPr>
        <sz val="10"/>
        <rFont val="Arial"/>
        <family val="2"/>
      </rPr>
      <t>w/o Interest)</t>
    </r>
  </si>
  <si>
    <t>2023 Interest</t>
  </si>
  <si>
    <t>Total 2023
True-Up Surcharge / (Refund)</t>
  </si>
  <si>
    <t>Total</t>
  </si>
  <si>
    <t>2021 NOLC Refund Amount with Interest (NITS)</t>
  </si>
  <si>
    <t>2021 Load Share</t>
  </si>
  <si>
    <t>2021 Formal Challenge Refund with Interest</t>
  </si>
  <si>
    <t>2023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</si>
</sst>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6" xfId="2" applyNumberFormat="1" applyFont="1" applyBorder="1" applyProtection="1"/>
    <xf numFmtId="165" fontId="0" fillId="0" borderId="17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19" xfId="0" applyBorder="1" applyProtection="1"/>
    <xf numFmtId="0" fontId="9" fillId="3" borderId="20" xfId="0" quotePrefix="1" applyFont="1" applyFill="1" applyBorder="1" applyAlignment="1" applyProtection="1">
      <alignment horizontal="left" vertical="center" wrapText="1"/>
    </xf>
    <xf numFmtId="165" fontId="0" fillId="3" borderId="21" xfId="2" applyNumberFormat="1" applyFont="1" applyFill="1" applyBorder="1" applyAlignment="1" applyProtection="1">
      <alignment vertical="center"/>
    </xf>
    <xf numFmtId="165" fontId="0" fillId="3" borderId="22" xfId="2" applyNumberFormat="1" applyFont="1" applyFill="1" applyBorder="1" applyAlignment="1" applyProtection="1">
      <alignment vertical="center"/>
    </xf>
    <xf numFmtId="165" fontId="3" fillId="3" borderId="23" xfId="2" applyNumberFormat="1" applyFont="1" applyFill="1" applyBorder="1" applyAlignment="1" applyProtection="1">
      <alignment vertical="center"/>
    </xf>
    <xf numFmtId="0" fontId="0" fillId="0" borderId="25" xfId="0" quotePrefix="1" applyBorder="1" applyAlignment="1" applyProtection="1">
      <alignment horizontal="left"/>
    </xf>
    <xf numFmtId="0" fontId="0" fillId="0" borderId="18" xfId="0" applyBorder="1" applyProtection="1"/>
    <xf numFmtId="0" fontId="0" fillId="0" borderId="26" xfId="0" applyBorder="1" applyProtection="1"/>
    <xf numFmtId="0" fontId="9" fillId="0" borderId="20" xfId="0" quotePrefix="1" applyFont="1" applyFill="1" applyBorder="1" applyAlignment="1" applyProtection="1">
      <alignment horizontal="left" vertical="center" wrapText="1"/>
    </xf>
    <xf numFmtId="165" fontId="0" fillId="0" borderId="21" xfId="2" applyNumberFormat="1" applyFont="1" applyFill="1" applyBorder="1" applyAlignment="1" applyProtection="1">
      <alignment vertical="center"/>
    </xf>
    <xf numFmtId="165" fontId="0" fillId="0" borderId="22" xfId="2" applyNumberFormat="1" applyFont="1" applyFill="1" applyBorder="1" applyAlignment="1" applyProtection="1">
      <alignment vertical="center"/>
    </xf>
    <xf numFmtId="165" fontId="3" fillId="0" borderId="23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7" xfId="2" applyNumberFormat="1" applyFont="1" applyBorder="1" applyAlignment="1" applyProtection="1">
      <alignment vertical="center"/>
    </xf>
    <xf numFmtId="165" fontId="0" fillId="0" borderId="28" xfId="2" applyNumberFormat="1" applyFont="1" applyBorder="1" applyAlignment="1" applyProtection="1">
      <alignment vertical="center"/>
    </xf>
    <xf numFmtId="165" fontId="0" fillId="0" borderId="29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4" xfId="0" applyBorder="1" applyProtection="1"/>
    <xf numFmtId="0" fontId="0" fillId="0" borderId="35" xfId="0" applyBorder="1" applyProtection="1"/>
    <xf numFmtId="0" fontId="0" fillId="0" borderId="34" xfId="0" pivotButton="1" applyBorder="1" applyProtection="1"/>
    <xf numFmtId="0" fontId="0" fillId="0" borderId="36" xfId="0" applyBorder="1" applyProtection="1"/>
    <xf numFmtId="17" fontId="0" fillId="0" borderId="34" xfId="0" applyNumberFormat="1" applyBorder="1" applyProtection="1"/>
    <xf numFmtId="17" fontId="0" fillId="0" borderId="37" xfId="0" applyNumberFormat="1" applyBorder="1" applyProtection="1"/>
    <xf numFmtId="17" fontId="0" fillId="0" borderId="38" xfId="0" applyNumberFormat="1" applyBorder="1" applyProtection="1"/>
    <xf numFmtId="166" fontId="0" fillId="0" borderId="34" xfId="0" applyNumberFormat="1" applyBorder="1" applyProtection="1"/>
    <xf numFmtId="166" fontId="0" fillId="0" borderId="37" xfId="0" applyNumberFormat="1" applyBorder="1" applyProtection="1"/>
    <xf numFmtId="166" fontId="0" fillId="0" borderId="38" xfId="0" applyNumberFormat="1" applyBorder="1" applyProtection="1"/>
    <xf numFmtId="0" fontId="0" fillId="0" borderId="39" xfId="0" applyBorder="1" applyProtection="1"/>
    <xf numFmtId="166" fontId="0" fillId="0" borderId="39" xfId="0" applyNumberFormat="1" applyBorder="1" applyProtection="1"/>
    <xf numFmtId="166" fontId="0" fillId="0" borderId="40" xfId="0" applyNumberFormat="1" applyBorder="1" applyProtection="1"/>
    <xf numFmtId="0" fontId="0" fillId="0" borderId="41" xfId="0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5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0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0" xfId="0" quotePrefix="1" applyBorder="1" applyAlignment="1" applyProtection="1">
      <alignment horizontal="right"/>
    </xf>
    <xf numFmtId="0" fontId="0" fillId="0" borderId="22" xfId="0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164" fontId="3" fillId="0" borderId="24" xfId="0" applyNumberFormat="1" applyFont="1" applyBorder="1" applyAlignment="1" applyProtection="1">
      <alignment horizontal="right"/>
    </xf>
    <xf numFmtId="167" fontId="0" fillId="0" borderId="22" xfId="0" applyNumberFormat="1" applyBorder="1" applyAlignment="1" applyProtection="1">
      <alignment horizontal="center"/>
    </xf>
    <xf numFmtId="167" fontId="0" fillId="4" borderId="24" xfId="0" applyNumberFormat="1" applyFill="1" applyBorder="1" applyAlignment="1" applyProtection="1">
      <alignment horizontal="center"/>
    </xf>
    <xf numFmtId="167" fontId="0" fillId="0" borderId="31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4" fontId="1" fillId="0" borderId="16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0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0" xfId="0" applyNumberFormat="1" applyFont="1" applyBorder="1" applyAlignment="1" applyProtection="1">
      <alignment horizontal="center"/>
    </xf>
    <xf numFmtId="14" fontId="0" fillId="0" borderId="16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0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2" xfId="0" quotePrefix="1" applyFont="1" applyBorder="1" applyAlignment="1" applyProtection="1">
      <alignment horizontal="center"/>
    </xf>
    <xf numFmtId="164" fontId="4" fillId="0" borderId="21" xfId="0" quotePrefix="1" applyNumberFormat="1" applyFont="1" applyBorder="1" applyAlignment="1" applyProtection="1">
      <alignment horizontal="center" vertical="center" wrapText="1"/>
    </xf>
    <xf numFmtId="0" fontId="4" fillId="0" borderId="22" xfId="0" quotePrefix="1" applyFont="1" applyBorder="1" applyAlignment="1" applyProtection="1">
      <alignment horizontal="center" vertical="center" wrapText="1"/>
    </xf>
    <xf numFmtId="164" fontId="4" fillId="5" borderId="22" xfId="0" quotePrefix="1" applyNumberFormat="1" applyFont="1" applyFill="1" applyBorder="1" applyAlignment="1" applyProtection="1">
      <alignment horizontal="center" vertical="center" wrapText="1"/>
    </xf>
    <xf numFmtId="164" fontId="4" fillId="0" borderId="22" xfId="0" applyNumberFormat="1" applyFont="1" applyBorder="1" applyAlignment="1" applyProtection="1">
      <alignment horizontal="center" vertical="center" wrapText="1"/>
    </xf>
    <xf numFmtId="164" fontId="4" fillId="0" borderId="31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26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3" xfId="0" applyNumberFormat="1" applyBorder="1" applyAlignment="1" applyProtection="1">
      <alignment horizontal="center"/>
    </xf>
    <xf numFmtId="14" fontId="1" fillId="0" borderId="33" xfId="0" applyNumberFormat="1" applyFont="1" applyFill="1" applyBorder="1" applyProtection="1"/>
    <xf numFmtId="14" fontId="7" fillId="2" borderId="33" xfId="0" applyNumberFormat="1" applyFont="1" applyFill="1" applyBorder="1" applyAlignment="1" applyProtection="1">
      <alignment horizontal="left"/>
    </xf>
    <xf numFmtId="0" fontId="0" fillId="0" borderId="33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3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4" xfId="0" applyBorder="1" applyProtection="1"/>
    <xf numFmtId="0" fontId="0" fillId="0" borderId="45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4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0" fontId="0" fillId="0" borderId="0" xfId="0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0" fontId="24" fillId="0" borderId="0" xfId="4" quotePrefix="1" applyNumberFormat="1" applyFont="1" applyFill="1" applyBorder="1" applyAlignment="1" applyProtection="1">
      <alignment horizontal="left"/>
    </xf>
    <xf numFmtId="164" fontId="4" fillId="0" borderId="22" xfId="0" quotePrefix="1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22" xfId="0" quotePrefix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1" fillId="0" borderId="0" xfId="5"/>
    <xf numFmtId="37" fontId="0" fillId="0" borderId="0" xfId="6" applyNumberFormat="1" applyFont="1"/>
    <xf numFmtId="37" fontId="1" fillId="0" borderId="0" xfId="5" applyNumberFormat="1"/>
    <xf numFmtId="0" fontId="1" fillId="0" borderId="46" xfId="5" applyBorder="1"/>
    <xf numFmtId="168" fontId="0" fillId="0" borderId="0" xfId="7" applyNumberFormat="1" applyFont="1" applyBorder="1" applyAlignment="1" applyProtection="1">
      <alignment horizontal="left"/>
    </xf>
    <xf numFmtId="0" fontId="1" fillId="0" borderId="47" xfId="5" quotePrefix="1" applyBorder="1" applyAlignment="1">
      <alignment horizontal="left"/>
    </xf>
    <xf numFmtId="168" fontId="0" fillId="0" borderId="0" xfId="7" quotePrefix="1" applyNumberFormat="1" applyFont="1" applyBorder="1" applyAlignment="1" applyProtection="1">
      <alignment horizontal="left"/>
    </xf>
    <xf numFmtId="0" fontId="1" fillId="0" borderId="47" xfId="5" applyBorder="1"/>
    <xf numFmtId="0" fontId="1" fillId="0" borderId="48" xfId="5" applyBorder="1"/>
    <xf numFmtId="0" fontId="9" fillId="3" borderId="49" xfId="5" quotePrefix="1" applyFont="1" applyFill="1" applyBorder="1" applyAlignment="1">
      <alignment horizontal="left" vertical="center" wrapText="1"/>
    </xf>
    <xf numFmtId="168" fontId="9" fillId="3" borderId="0" xfId="7" quotePrefix="1" applyNumberFormat="1" applyFont="1" applyFill="1" applyBorder="1" applyAlignment="1" applyProtection="1">
      <alignment horizontal="left" vertical="center" wrapText="1"/>
    </xf>
    <xf numFmtId="37" fontId="9" fillId="3" borderId="0" xfId="7" quotePrefix="1" applyNumberFormat="1" applyFont="1" applyFill="1" applyBorder="1" applyAlignment="1" applyProtection="1">
      <alignment vertical="center" wrapText="1"/>
    </xf>
    <xf numFmtId="0" fontId="1" fillId="0" borderId="50" xfId="5" quotePrefix="1" applyBorder="1" applyAlignment="1">
      <alignment horizontal="left"/>
    </xf>
    <xf numFmtId="0" fontId="9" fillId="3" borderId="22" xfId="5" quotePrefix="1" applyFont="1" applyFill="1" applyBorder="1" applyAlignment="1">
      <alignment horizontal="left" vertical="center" wrapText="1"/>
    </xf>
    <xf numFmtId="37" fontId="9" fillId="3" borderId="22" xfId="5" quotePrefix="1" applyNumberFormat="1" applyFont="1" applyFill="1" applyBorder="1" applyAlignment="1">
      <alignment vertical="center" wrapText="1"/>
    </xf>
    <xf numFmtId="0" fontId="9" fillId="0" borderId="51" xfId="5" quotePrefix="1" applyFont="1" applyBorder="1" applyAlignment="1">
      <alignment horizontal="center" vertical="center" wrapText="1"/>
    </xf>
    <xf numFmtId="0" fontId="9" fillId="0" borderId="0" xfId="5" quotePrefix="1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3" fontId="0" fillId="0" borderId="0" xfId="1" applyFont="1" applyProtection="1"/>
    <xf numFmtId="166" fontId="25" fillId="0" borderId="39" xfId="0" applyNumberFormat="1" applyFont="1" applyBorder="1" applyProtection="1"/>
    <xf numFmtId="166" fontId="25" fillId="0" borderId="0" xfId="0" applyNumberFormat="1" applyFont="1" applyProtection="1"/>
    <xf numFmtId="166" fontId="25" fillId="0" borderId="40" xfId="0" applyNumberFormat="1" applyFont="1" applyBorder="1" applyProtection="1"/>
    <xf numFmtId="166" fontId="25" fillId="0" borderId="34" xfId="0" applyNumberFormat="1" applyFont="1" applyBorder="1" applyProtection="1"/>
    <xf numFmtId="166" fontId="25" fillId="0" borderId="37" xfId="0" applyNumberFormat="1" applyFont="1" applyBorder="1" applyProtection="1"/>
    <xf numFmtId="166" fontId="25" fillId="0" borderId="38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8">
    <cellStyle name="Comma" xfId="1" builtinId="3"/>
    <cellStyle name="Comma 2" xfId="6" xr:uid="{214FD057-BB75-4F60-83BB-25628F9B6C31}"/>
    <cellStyle name="Currency" xfId="2" builtinId="4"/>
    <cellStyle name="Normal" xfId="0" builtinId="0"/>
    <cellStyle name="Normal 2" xfId="3" xr:uid="{00000000-0005-0000-0000-000003000000}"/>
    <cellStyle name="Normal 3" xfId="5" xr:uid="{EA691A26-BC7D-4F46-B3F6-C0A54C70E9E2}"/>
    <cellStyle name="Percent" xfId="4" builtinId="5"/>
    <cellStyle name="Percent 2" xfId="7" xr:uid="{46770C55-AE41-4D20-A7A2-C27E92E5FF46}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5456.441033564814" createdVersion="6" refreshedVersion="8" recordCount="192" xr:uid="{00000000-000A-0000-FFFF-FFFFE2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3-12-02T00:00:00" count="168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2-01-01T00:00:00" u="1"/>
        <d v="2022-02-01T00:00:00" u="1"/>
        <d v="2022-03-01T00:00:00" u="1"/>
        <d v="2022-04-01T00:00:00" u="1"/>
        <d v="2022-05-01T00:00:00" u="1"/>
        <d v="2022-06-01T00:00:00" u="1"/>
        <d v="2022-07-01T00:00:00" u="1"/>
        <d v="2022-08-01T00:00:00" u="1"/>
        <d v="2022-09-01T00:00:00" u="1"/>
        <d v="2022-10-01T00:00:00" u="1"/>
        <d v="2022-11-01T00:00:00" u="1"/>
        <d v="2022-12-01T00:00:00" u="1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3-02-03T00:00:00" maxDate="2024-01-04T00:00:00"/>
    </cacheField>
    <cacheField name="Payment Received*" numFmtId="14">
      <sharedItems containsSemiMixedTypes="0" containsNonDate="0" containsDate="1" containsString="0" minDate="2023-02-24T00:00:00" maxDate="2024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65"/>
    </cacheField>
    <cacheField name="Projected Rate (as Invoiced)" numFmtId="164">
      <sharedItems containsSemiMixedTypes="0" containsString="0" containsNumber="1" minValue="1716.58" maxValue="1716.58"/>
    </cacheField>
    <cacheField name="Actual True-Up Rate" numFmtId="164">
      <sharedItems containsSemiMixedTypes="0" containsString="0" containsNumber="1" minValue="1750.02" maxValue="1750.02"/>
    </cacheField>
    <cacheField name="True-Up Charge" numFmtId="164">
      <sharedItems containsSemiMixedTypes="0" containsString="0" containsNumber="1" minValue="1750.02" maxValue="7463835.2999999998"/>
    </cacheField>
    <cacheField name="Invoiced*** Charge (proj.)" numFmtId="164">
      <sharedItems containsSemiMixedTypes="0" containsString="0" containsNumber="1" minValue="1716.58" maxValue="7321213.6999999993"/>
    </cacheField>
    <cacheField name="True-Up w/o Interest" numFmtId="164">
      <sharedItems containsSemiMixedTypes="0" containsString="0" containsNumber="1" minValue="33.440000000000055" maxValue="142621.60000000056"/>
    </cacheField>
    <cacheField name="Interest" numFmtId="164">
      <sharedItems containsSemiMixedTypes="0" containsString="0" containsNumber="1" minValue="2.7407247591364237" maxValue="11689.191097716846"/>
    </cacheField>
    <cacheField name="2023 True Up Including Interest" numFmtId="164">
      <sharedItems containsSemiMixedTypes="0" containsString="0" containsNumber="1" minValue="36.180724759136481" maxValue="154310.79109771742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36.180724759136481" maxValue="154310.791097717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3-02-03T00:00:00"/>
    <d v="2023-02-24T00:00:00"/>
    <x v="0"/>
    <n v="9"/>
    <n v="2810"/>
    <n v="1716.58"/>
    <n v="1750.02"/>
    <n v="4917556.2"/>
    <n v="4823589.8"/>
    <n v="93966.400000000373"/>
    <n v="7701.4365731733506"/>
    <n v="101667.83657317373"/>
    <n v="0"/>
    <n v="0"/>
    <n v="0"/>
    <n v="101667.83657317373"/>
  </r>
  <r>
    <x v="1"/>
    <d v="2023-03-03T00:00:00"/>
    <d v="2023-03-24T00:00:00"/>
    <x v="0"/>
    <n v="9"/>
    <n v="2771"/>
    <n v="1716.58"/>
    <n v="1750.02"/>
    <n v="4849305.42"/>
    <n v="4756643.18"/>
    <n v="92662.240000000224"/>
    <n v="7594.54830756703"/>
    <n v="100256.78830756726"/>
    <n v="0"/>
    <n v="0"/>
    <n v="0"/>
    <n v="100256.78830756726"/>
  </r>
  <r>
    <x v="2"/>
    <d v="2023-04-05T00:00:00"/>
    <d v="2023-04-24T00:00:00"/>
    <x v="0"/>
    <n v="9"/>
    <n v="2389"/>
    <n v="1716.58"/>
    <n v="1750.02"/>
    <n v="4180797.78"/>
    <n v="4100909.6199999996"/>
    <n v="79888.160000000149"/>
    <n v="6547.5914495769166"/>
    <n v="86435.751449577059"/>
    <n v="0"/>
    <n v="0"/>
    <n v="0"/>
    <n v="86435.751449577059"/>
  </r>
  <r>
    <x v="3"/>
    <d v="2023-05-03T00:00:00"/>
    <d v="2023-05-24T00:00:00"/>
    <x v="0"/>
    <n v="9"/>
    <n v="2392"/>
    <n v="1716.58"/>
    <n v="1750.02"/>
    <n v="4186047.84"/>
    <n v="4106059.36"/>
    <n v="79988.479999999981"/>
    <n v="6555.8136238543257"/>
    <n v="86544.293623854304"/>
    <n v="0"/>
    <n v="0"/>
    <n v="0"/>
    <n v="86544.293623854304"/>
  </r>
  <r>
    <x v="4"/>
    <d v="2023-06-05T00:00:00"/>
    <d v="2023-06-26T00:00:00"/>
    <x v="0"/>
    <n v="9"/>
    <n v="3231"/>
    <n v="1716.58"/>
    <n v="1750.02"/>
    <n v="5654314.6200000001"/>
    <n v="5546269.9799999995"/>
    <n v="108044.6400000006"/>
    <n v="8855.2816967697854"/>
    <n v="116899.92169677038"/>
    <n v="0"/>
    <n v="0"/>
    <n v="0"/>
    <n v="116899.92169677038"/>
  </r>
  <r>
    <x v="5"/>
    <d v="2023-07-05T00:00:00"/>
    <d v="2023-07-24T00:00:00"/>
    <x v="0"/>
    <n v="9"/>
    <n v="4100"/>
    <n v="1716.58"/>
    <n v="1750.02"/>
    <n v="7175082"/>
    <n v="7037978"/>
    <n v="137104"/>
    <n v="11236.971512459337"/>
    <n v="148340.97151245933"/>
    <n v="0"/>
    <n v="0"/>
    <n v="0"/>
    <n v="148340.97151245933"/>
  </r>
  <r>
    <x v="6"/>
    <d v="2023-08-03T00:00:00"/>
    <d v="2023-08-24T00:00:00"/>
    <x v="0"/>
    <n v="9"/>
    <n v="3988"/>
    <n v="1716.58"/>
    <n v="1750.02"/>
    <n v="6979079.7599999998"/>
    <n v="6845721.04"/>
    <n v="133358.71999999974"/>
    <n v="10930.010339436058"/>
    <n v="144288.7303394358"/>
    <n v="0"/>
    <n v="0"/>
    <n v="0"/>
    <n v="144288.7303394358"/>
  </r>
  <r>
    <x v="7"/>
    <d v="2023-09-05T00:00:00"/>
    <d v="2023-09-25T00:00:00"/>
    <x v="0"/>
    <n v="9"/>
    <n v="4265"/>
    <n v="1716.58"/>
    <n v="1750.02"/>
    <n v="7463835.2999999998"/>
    <n v="7321213.6999999993"/>
    <n v="142621.60000000056"/>
    <n v="11689.191097716846"/>
    <n v="154310.79109771742"/>
    <n v="0"/>
    <n v="0"/>
    <n v="0"/>
    <n v="154310.79109771742"/>
  </r>
  <r>
    <x v="8"/>
    <d v="2023-10-04T00:00:00"/>
    <d v="2023-10-24T00:00:00"/>
    <x v="0"/>
    <n v="9"/>
    <n v="4016"/>
    <n v="1716.58"/>
    <n v="1750.02"/>
    <n v="7028080.3200000003"/>
    <n v="6893785.2799999993"/>
    <n v="134295.04000000097"/>
    <n v="11006.750632691879"/>
    <n v="145301.79063269284"/>
    <n v="0"/>
    <n v="0"/>
    <n v="0"/>
    <n v="145301.79063269284"/>
  </r>
  <r>
    <x v="9"/>
    <d v="2023-11-03T00:00:00"/>
    <d v="2023-11-24T00:00:00"/>
    <x v="0"/>
    <n v="9"/>
    <n v="3105"/>
    <n v="1716.58"/>
    <n v="1750.02"/>
    <n v="5433812.0999999996"/>
    <n v="5329980.8999999994"/>
    <n v="103831.20000000019"/>
    <n v="8509.9503771185955"/>
    <n v="112341.15037711879"/>
    <n v="0"/>
    <n v="0"/>
    <n v="0"/>
    <n v="112341.15037711879"/>
  </r>
  <r>
    <x v="10"/>
    <d v="2023-12-06T00:00:00"/>
    <d v="2023-12-25T00:00:00"/>
    <x v="0"/>
    <n v="9"/>
    <n v="2513"/>
    <n v="1716.58"/>
    <n v="1750.02"/>
    <n v="4397800.26"/>
    <n v="4313765.54"/>
    <n v="84034.719999999739"/>
    <n v="6887.4413197098329"/>
    <n v="90922.161319709572"/>
    <n v="0"/>
    <n v="0"/>
    <n v="0"/>
    <n v="90922.161319709572"/>
  </r>
  <r>
    <x v="11"/>
    <d v="2024-01-03T00:00:00"/>
    <d v="2024-01-24T00:00:00"/>
    <x v="0"/>
    <n v="9"/>
    <n v="2474"/>
    <n v="1716.58"/>
    <n v="1750.02"/>
    <n v="4329549.4799999995"/>
    <n v="4246818.92"/>
    <n v="82730.55999999959"/>
    <n v="6780.5530541035123"/>
    <n v="89511.113054103102"/>
    <n v="0"/>
    <n v="0"/>
    <n v="0"/>
    <n v="89511.113054103102"/>
  </r>
  <r>
    <x v="0"/>
    <d v="2023-02-03T00:00:00"/>
    <d v="2023-02-24T00:00:00"/>
    <x v="1"/>
    <n v="9"/>
    <n v="2724"/>
    <n v="1716.58"/>
    <n v="1750.02"/>
    <n v="4767054.4799999995"/>
    <n v="4675963.92"/>
    <n v="91090.55999999959"/>
    <n v="7465.7342438876185"/>
    <n v="98556.294243887212"/>
    <n v="0"/>
    <n v="0"/>
    <n v="0"/>
    <n v="98556.294243887212"/>
  </r>
  <r>
    <x v="1"/>
    <d v="2023-03-03T00:00:00"/>
    <d v="2023-03-24T00:00:00"/>
    <x v="1"/>
    <n v="9"/>
    <n v="2757"/>
    <n v="1716.58"/>
    <n v="1750.02"/>
    <n v="4824805.1399999997"/>
    <n v="4732611.0599999996"/>
    <n v="92194.080000000075"/>
    <n v="7556.1781609391201"/>
    <n v="99750.258160939193"/>
    <n v="0"/>
    <n v="0"/>
    <n v="0"/>
    <n v="99750.258160939193"/>
  </r>
  <r>
    <x v="2"/>
    <d v="2023-04-05T00:00:00"/>
    <d v="2023-04-24T00:00:00"/>
    <x v="1"/>
    <n v="9"/>
    <n v="2641"/>
    <n v="1716.58"/>
    <n v="1750.02"/>
    <n v="4621802.82"/>
    <n v="4533487.78"/>
    <n v="88315.040000000037"/>
    <n v="7238.2540888792955"/>
    <n v="95553.294088879338"/>
    <n v="0"/>
    <n v="0"/>
    <n v="0"/>
    <n v="95553.294088879338"/>
  </r>
  <r>
    <x v="3"/>
    <d v="2023-05-03T00:00:00"/>
    <d v="2023-05-24T00:00:00"/>
    <x v="1"/>
    <n v="9"/>
    <n v="2417"/>
    <n v="1716.58"/>
    <n v="1750.02"/>
    <n v="4229798.34"/>
    <n v="4148973.86"/>
    <n v="80824.479999999981"/>
    <n v="6624.3317428327355"/>
    <n v="87448.81174283271"/>
    <n v="0"/>
    <n v="0"/>
    <n v="0"/>
    <n v="87448.81174283271"/>
  </r>
  <r>
    <x v="4"/>
    <d v="2023-06-05T00:00:00"/>
    <d v="2023-06-26T00:00:00"/>
    <x v="1"/>
    <n v="9"/>
    <n v="2844"/>
    <n v="1716.58"/>
    <n v="1750.02"/>
    <n v="4977056.88"/>
    <n v="4881953.5199999996"/>
    <n v="95103.360000000335"/>
    <n v="7794.6212149839885"/>
    <n v="102897.98121498432"/>
    <n v="0"/>
    <n v="0"/>
    <n v="0"/>
    <n v="102897.98121498432"/>
  </r>
  <r>
    <x v="5"/>
    <d v="2023-07-05T00:00:00"/>
    <d v="2023-07-24T00:00:00"/>
    <x v="1"/>
    <n v="9"/>
    <n v="3500"/>
    <n v="1716.58"/>
    <n v="1750.02"/>
    <n v="6125070"/>
    <n v="6008030"/>
    <n v="117040"/>
    <n v="9592.5366569774833"/>
    <n v="126632.53665697748"/>
    <n v="0"/>
    <n v="0"/>
    <n v="0"/>
    <n v="126632.53665697748"/>
  </r>
  <r>
    <x v="6"/>
    <d v="2023-08-03T00:00:00"/>
    <d v="2023-08-24T00:00:00"/>
    <x v="1"/>
    <n v="9"/>
    <n v="3569"/>
    <n v="1716.58"/>
    <n v="1750.02"/>
    <n v="6245821.3799999999"/>
    <n v="6126474.0199999996"/>
    <n v="119347.36000000034"/>
    <n v="9781.6466653578973"/>
    <n v="129129.00666535823"/>
    <n v="0"/>
    <n v="0"/>
    <n v="0"/>
    <n v="129129.00666535823"/>
  </r>
  <r>
    <x v="7"/>
    <d v="2023-09-05T00:00:00"/>
    <d v="2023-09-25T00:00:00"/>
    <x v="1"/>
    <n v="9"/>
    <n v="3766"/>
    <n v="1716.58"/>
    <n v="1750.02"/>
    <n v="6590575.3200000003"/>
    <n v="6464640.2799999993"/>
    <n v="125935.04000000097"/>
    <n v="10321.56944290777"/>
    <n v="136256.60944290872"/>
    <n v="0"/>
    <n v="0"/>
    <n v="0"/>
    <n v="136256.60944290872"/>
  </r>
  <r>
    <x v="8"/>
    <d v="2023-10-04T00:00:00"/>
    <d v="2023-10-24T00:00:00"/>
    <x v="1"/>
    <n v="9"/>
    <n v="3456"/>
    <n v="1716.58"/>
    <n v="1750.02"/>
    <n v="6048069.1200000001"/>
    <n v="5932500.4799999995"/>
    <n v="115568.6400000006"/>
    <n v="9471.9447675754818"/>
    <n v="125040.58476757607"/>
    <n v="0"/>
    <n v="0"/>
    <n v="0"/>
    <n v="125040.58476757607"/>
  </r>
  <r>
    <x v="9"/>
    <d v="2023-11-03T00:00:00"/>
    <d v="2023-11-24T00:00:00"/>
    <x v="1"/>
    <n v="9"/>
    <n v="2810"/>
    <n v="1716.58"/>
    <n v="1750.02"/>
    <n v="4917556.2"/>
    <n v="4823589.8"/>
    <n v="93966.400000000373"/>
    <n v="7701.4365731733506"/>
    <n v="101667.83657317373"/>
    <n v="0"/>
    <n v="0"/>
    <n v="0"/>
    <n v="101667.83657317373"/>
  </r>
  <r>
    <x v="10"/>
    <d v="2023-12-06T00:00:00"/>
    <d v="2023-12-25T00:00:00"/>
    <x v="1"/>
    <n v="9"/>
    <n v="2499"/>
    <n v="1716.58"/>
    <n v="1750.02"/>
    <n v="4373299.9799999995"/>
    <n v="4289733.42"/>
    <n v="83566.55999999959"/>
    <n v="6849.071173081923"/>
    <n v="90415.631173081507"/>
    <n v="0"/>
    <n v="0"/>
    <n v="0"/>
    <n v="90415.631173081507"/>
  </r>
  <r>
    <x v="11"/>
    <d v="2024-01-03T00:00:00"/>
    <d v="2024-01-24T00:00:00"/>
    <x v="1"/>
    <n v="9"/>
    <n v="2532"/>
    <n v="1716.58"/>
    <n v="1750.02"/>
    <n v="4431050.6399999997"/>
    <n v="4346380.5599999996"/>
    <n v="84670.080000000075"/>
    <n v="6939.5150901334246"/>
    <n v="91609.595090133502"/>
    <n v="0"/>
    <n v="0"/>
    <n v="0"/>
    <n v="91609.595090133502"/>
  </r>
  <r>
    <x v="0"/>
    <d v="2023-02-03T00:00:00"/>
    <d v="2023-02-24T00:00:00"/>
    <x v="2"/>
    <n v="9"/>
    <n v="137"/>
    <n v="1716.58"/>
    <n v="1750.02"/>
    <n v="239752.74"/>
    <n v="235171.46"/>
    <n v="4581.2799999999988"/>
    <n v="375.47929200169"/>
    <n v="4956.7592920016887"/>
    <n v="0"/>
    <n v="0"/>
    <n v="0"/>
    <n v="4956.7592920016887"/>
  </r>
  <r>
    <x v="1"/>
    <d v="2023-03-03T00:00:00"/>
    <d v="2023-03-24T00:00:00"/>
    <x v="2"/>
    <n v="9"/>
    <n v="132"/>
    <n v="1716.58"/>
    <n v="1750.02"/>
    <n v="231002.63999999998"/>
    <n v="226588.56"/>
    <n v="4414.0799999999872"/>
    <n v="361.77566820600794"/>
    <n v="4775.8556682059952"/>
    <n v="0"/>
    <n v="0"/>
    <n v="0"/>
    <n v="4775.8556682059952"/>
  </r>
  <r>
    <x v="2"/>
    <d v="2023-04-05T00:00:00"/>
    <d v="2023-04-24T00:00:00"/>
    <x v="2"/>
    <n v="9"/>
    <n v="148"/>
    <n v="1716.58"/>
    <n v="1750.02"/>
    <n v="259002.96"/>
    <n v="254053.84"/>
    <n v="4949.1199999999953"/>
    <n v="405.62726435219071"/>
    <n v="5354.747264352186"/>
    <n v="0"/>
    <n v="0"/>
    <n v="0"/>
    <n v="5354.747264352186"/>
  </r>
  <r>
    <x v="3"/>
    <d v="2023-05-03T00:00:00"/>
    <d v="2023-05-24T00:00:00"/>
    <x v="2"/>
    <n v="9"/>
    <n v="92"/>
    <n v="1716.58"/>
    <n v="1750.02"/>
    <n v="161001.84"/>
    <n v="157925.35999999999"/>
    <n v="3076.4800000000105"/>
    <n v="252.14667784055098"/>
    <n v="3328.6266778405616"/>
    <n v="0"/>
    <n v="0"/>
    <n v="0"/>
    <n v="3328.6266778405616"/>
  </r>
  <r>
    <x v="4"/>
    <d v="2023-06-05T00:00:00"/>
    <d v="2023-06-26T00:00:00"/>
    <x v="2"/>
    <n v="9"/>
    <n v="104"/>
    <n v="1716.58"/>
    <n v="1750.02"/>
    <n v="182002.08"/>
    <n v="178524.32"/>
    <n v="3477.7599999999802"/>
    <n v="285.03537495018804"/>
    <n v="3762.7953749501685"/>
    <n v="0"/>
    <n v="0"/>
    <n v="0"/>
    <n v="3762.7953749501685"/>
  </r>
  <r>
    <x v="5"/>
    <d v="2023-07-05T00:00:00"/>
    <d v="2023-07-24T00:00:00"/>
    <x v="2"/>
    <n v="9"/>
    <n v="156"/>
    <n v="1716.58"/>
    <n v="1750.02"/>
    <n v="273003.12"/>
    <n v="267786.48"/>
    <n v="5216.640000000014"/>
    <n v="427.55306242528212"/>
    <n v="5644.1930624252964"/>
    <n v="0"/>
    <n v="0"/>
    <n v="0"/>
    <n v="5644.1930624252964"/>
  </r>
  <r>
    <x v="6"/>
    <d v="2023-08-03T00:00:00"/>
    <d v="2023-08-24T00:00:00"/>
    <x v="2"/>
    <n v="9"/>
    <n v="155"/>
    <n v="1716.58"/>
    <n v="1750.02"/>
    <n v="271253.09999999998"/>
    <n v="266069.89999999997"/>
    <n v="5183.2000000000116"/>
    <n v="424.81233766614565"/>
    <n v="5608.0123376661577"/>
    <n v="0"/>
    <n v="0"/>
    <n v="0"/>
    <n v="5608.0123376661577"/>
  </r>
  <r>
    <x v="7"/>
    <d v="2023-09-05T00:00:00"/>
    <d v="2023-09-25T00:00:00"/>
    <x v="2"/>
    <n v="9"/>
    <n v="159"/>
    <n v="1716.58"/>
    <n v="1750.02"/>
    <n v="278253.18"/>
    <n v="272936.21999999997"/>
    <n v="5316.960000000021"/>
    <n v="435.77523670269136"/>
    <n v="5752.7352367027124"/>
    <n v="0"/>
    <n v="0"/>
    <n v="0"/>
    <n v="5752.7352367027124"/>
  </r>
  <r>
    <x v="8"/>
    <d v="2023-10-04T00:00:00"/>
    <d v="2023-10-24T00:00:00"/>
    <x v="2"/>
    <n v="9"/>
    <n v="144"/>
    <n v="1716.58"/>
    <n v="1750.02"/>
    <n v="252002.88"/>
    <n v="247187.52"/>
    <n v="4815.3600000000151"/>
    <n v="394.664365315645"/>
    <n v="5210.0243653156604"/>
    <n v="0"/>
    <n v="0"/>
    <n v="0"/>
    <n v="5210.0243653156604"/>
  </r>
  <r>
    <x v="9"/>
    <d v="2023-11-03T00:00:00"/>
    <d v="2023-11-24T00:00:00"/>
    <x v="2"/>
    <n v="9"/>
    <n v="117"/>
    <n v="1716.58"/>
    <n v="1750.02"/>
    <n v="204752.34"/>
    <n v="200839.86"/>
    <n v="3912.4800000000105"/>
    <n v="320.66479681896158"/>
    <n v="4233.1447968189723"/>
    <n v="0"/>
    <n v="0"/>
    <n v="0"/>
    <n v="4233.1447968189723"/>
  </r>
  <r>
    <x v="10"/>
    <d v="2023-12-06T00:00:00"/>
    <d v="2023-12-25T00:00:00"/>
    <x v="2"/>
    <n v="9"/>
    <n v="134"/>
    <n v="1716.58"/>
    <n v="1750.02"/>
    <n v="234502.68"/>
    <n v="230021.72"/>
    <n v="4480.9599999999919"/>
    <n v="367.25711772428082"/>
    <n v="4848.2171177242726"/>
    <n v="0"/>
    <n v="0"/>
    <n v="0"/>
    <n v="4848.2171177242726"/>
  </r>
  <r>
    <x v="11"/>
    <d v="2024-01-03T00:00:00"/>
    <d v="2024-01-24T00:00:00"/>
    <x v="2"/>
    <n v="9"/>
    <n v="145"/>
    <n v="1716.58"/>
    <n v="1750.02"/>
    <n v="253752.9"/>
    <n v="248904.09999999998"/>
    <n v="4848.8000000000175"/>
    <n v="397.40509007478147"/>
    <n v="5246.205090074799"/>
    <n v="0"/>
    <n v="0"/>
    <n v="0"/>
    <n v="5246.205090074799"/>
  </r>
  <r>
    <x v="0"/>
    <d v="2023-02-03T00:00:00"/>
    <d v="2023-02-24T00:00:00"/>
    <x v="3"/>
    <n v="9"/>
    <n v="828"/>
    <n v="1716.58"/>
    <n v="1750.02"/>
    <n v="1449016.56"/>
    <n v="1421328.24"/>
    <n v="27688.320000000065"/>
    <n v="2269.3201005649589"/>
    <n v="29957.640100565026"/>
    <n v="0"/>
    <n v="0"/>
    <n v="0"/>
    <n v="29957.640100565026"/>
  </r>
  <r>
    <x v="1"/>
    <d v="2023-03-03T00:00:00"/>
    <d v="2023-03-24T00:00:00"/>
    <x v="3"/>
    <n v="9"/>
    <n v="786"/>
    <n v="1716.58"/>
    <n v="1750.02"/>
    <n v="1375515.72"/>
    <n v="1349231.88"/>
    <n v="26283.840000000084"/>
    <n v="2154.2096606812288"/>
    <n v="28438.049660681314"/>
    <n v="0"/>
    <n v="0"/>
    <n v="0"/>
    <n v="28438.049660681314"/>
  </r>
  <r>
    <x v="2"/>
    <d v="2023-04-05T00:00:00"/>
    <d v="2023-04-24T00:00:00"/>
    <x v="3"/>
    <n v="9"/>
    <n v="702"/>
    <n v="1716.58"/>
    <n v="1750.02"/>
    <n v="1228514.04"/>
    <n v="1205039.1599999999"/>
    <n v="23474.880000000121"/>
    <n v="1923.9887809137695"/>
    <n v="25398.86878091389"/>
    <n v="0"/>
    <n v="0"/>
    <n v="0"/>
    <n v="25398.86878091389"/>
  </r>
  <r>
    <x v="3"/>
    <d v="2023-05-03T00:00:00"/>
    <d v="2023-05-24T00:00:00"/>
    <x v="3"/>
    <n v="9"/>
    <n v="519"/>
    <n v="1716.58"/>
    <n v="1750.02"/>
    <n v="908260.38"/>
    <n v="890905.02"/>
    <n v="17355.359999999986"/>
    <n v="1422.4361499918039"/>
    <n v="18777.796149991791"/>
    <n v="0"/>
    <n v="0"/>
    <n v="0"/>
    <n v="18777.796149991791"/>
  </r>
  <r>
    <x v="4"/>
    <d v="2023-06-05T00:00:00"/>
    <d v="2023-06-26T00:00:00"/>
    <x v="3"/>
    <n v="9"/>
    <n v="720"/>
    <n v="1716.58"/>
    <n v="1750.02"/>
    <n v="1260014.3999999999"/>
    <n v="1235937.5999999999"/>
    <n v="24076.800000000047"/>
    <n v="1973.3218265782252"/>
    <n v="26050.121826578274"/>
    <n v="0"/>
    <n v="0"/>
    <n v="0"/>
    <n v="26050.121826578274"/>
  </r>
  <r>
    <x v="5"/>
    <d v="2023-07-05T00:00:00"/>
    <d v="2023-07-24T00:00:00"/>
    <x v="3"/>
    <n v="9"/>
    <n v="975"/>
    <n v="1716.58"/>
    <n v="1750.02"/>
    <n v="1706269.5"/>
    <n v="1673665.5"/>
    <n v="32604"/>
    <n v="2672.2066401580132"/>
    <n v="35276.206640158016"/>
    <n v="0"/>
    <n v="0"/>
    <n v="0"/>
    <n v="35276.206640158016"/>
  </r>
  <r>
    <x v="6"/>
    <d v="2023-08-03T00:00:00"/>
    <d v="2023-08-24T00:00:00"/>
    <x v="3"/>
    <n v="9"/>
    <n v="924"/>
    <n v="1716.58"/>
    <n v="1750.02"/>
    <n v="1617018.48"/>
    <n v="1586119.92"/>
    <n v="30898.560000000056"/>
    <n v="2532.4296774420554"/>
    <n v="33430.989677442114"/>
    <n v="0"/>
    <n v="0"/>
    <n v="0"/>
    <n v="33430.989677442114"/>
  </r>
  <r>
    <x v="7"/>
    <d v="2023-09-05T00:00:00"/>
    <d v="2023-09-25T00:00:00"/>
    <x v="3"/>
    <n v="9"/>
    <n v="1053"/>
    <n v="1716.58"/>
    <n v="1750.02"/>
    <n v="1842771.06"/>
    <n v="1807558.74"/>
    <n v="35212.320000000065"/>
    <n v="2885.9831713706544"/>
    <n v="38098.303171370717"/>
    <n v="0"/>
    <n v="0"/>
    <n v="0"/>
    <n v="38098.303171370717"/>
  </r>
  <r>
    <x v="8"/>
    <d v="2023-10-04T00:00:00"/>
    <d v="2023-10-24T00:00:00"/>
    <x v="3"/>
    <n v="9"/>
    <n v="905"/>
    <n v="1716.58"/>
    <n v="1750.02"/>
    <n v="1583768.1"/>
    <n v="1553504.9"/>
    <n v="30263.200000000186"/>
    <n v="2480.3559070184633"/>
    <n v="32743.55590701865"/>
    <n v="0"/>
    <n v="0"/>
    <n v="0"/>
    <n v="32743.55590701865"/>
  </r>
  <r>
    <x v="9"/>
    <d v="2023-11-03T00:00:00"/>
    <d v="2023-11-24T00:00:00"/>
    <x v="3"/>
    <n v="9"/>
    <n v="694"/>
    <n v="1716.58"/>
    <n v="1750.02"/>
    <n v="1214513.8799999999"/>
    <n v="1191306.52"/>
    <n v="23207.35999999987"/>
    <n v="1902.0629828406782"/>
    <n v="25109.422982840548"/>
    <n v="0"/>
    <n v="0"/>
    <n v="0"/>
    <n v="25109.422982840548"/>
  </r>
  <r>
    <x v="10"/>
    <d v="2023-12-06T00:00:00"/>
    <d v="2023-12-25T00:00:00"/>
    <x v="3"/>
    <n v="9"/>
    <n v="736"/>
    <n v="1716.58"/>
    <n v="1750.02"/>
    <n v="1288014.72"/>
    <n v="1263402.8799999999"/>
    <n v="24611.840000000084"/>
    <n v="2017.1734227244078"/>
    <n v="26629.013422724493"/>
    <n v="0"/>
    <n v="0"/>
    <n v="0"/>
    <n v="26629.013422724493"/>
  </r>
  <r>
    <x v="11"/>
    <d v="2024-01-03T00:00:00"/>
    <d v="2024-01-24T00:00:00"/>
    <x v="3"/>
    <n v="9"/>
    <n v="713"/>
    <n v="1716.58"/>
    <n v="1750.02"/>
    <n v="1247764.26"/>
    <n v="1223921.54"/>
    <n v="23842.719999999972"/>
    <n v="1954.1367532642701"/>
    <n v="25796.856753264241"/>
    <n v="0"/>
    <n v="0"/>
    <n v="0"/>
    <n v="25796.856753264241"/>
  </r>
  <r>
    <x v="0"/>
    <d v="2023-02-03T00:00:00"/>
    <d v="2023-02-24T00:00:00"/>
    <x v="4"/>
    <n v="9"/>
    <n v="44"/>
    <n v="1716.58"/>
    <n v="1750.02"/>
    <n v="77000.88"/>
    <n v="75529.51999999999"/>
    <n v="1471.3600000000151"/>
    <n v="120.59188940200265"/>
    <n v="1591.9518894020177"/>
    <n v="0"/>
    <n v="0"/>
    <n v="0"/>
    <n v="1591.9518894020177"/>
  </r>
  <r>
    <x v="1"/>
    <d v="2023-03-03T00:00:00"/>
    <d v="2023-03-24T00:00:00"/>
    <x v="4"/>
    <n v="9"/>
    <n v="42"/>
    <n v="1716.58"/>
    <n v="1750.02"/>
    <n v="73500.84"/>
    <n v="72096.36"/>
    <n v="1404.4799999999959"/>
    <n v="115.1104398837298"/>
    <n v="1519.5904398837258"/>
    <n v="0"/>
    <n v="0"/>
    <n v="0"/>
    <n v="1519.5904398837258"/>
  </r>
  <r>
    <x v="2"/>
    <d v="2023-04-05T00:00:00"/>
    <d v="2023-04-24T00:00:00"/>
    <x v="4"/>
    <n v="9"/>
    <n v="37"/>
    <n v="1716.58"/>
    <n v="1750.02"/>
    <n v="64750.74"/>
    <n v="63513.46"/>
    <n v="1237.2799999999988"/>
    <n v="101.40681608804768"/>
    <n v="1338.6868160880465"/>
    <n v="0"/>
    <n v="0"/>
    <n v="0"/>
    <n v="1338.6868160880465"/>
  </r>
  <r>
    <x v="3"/>
    <d v="2023-05-03T00:00:00"/>
    <d v="2023-05-24T00:00:00"/>
    <x v="4"/>
    <n v="9"/>
    <n v="27"/>
    <n v="1716.58"/>
    <n v="1750.02"/>
    <n v="47250.54"/>
    <n v="46347.659999999996"/>
    <n v="902.88000000000466"/>
    <n v="73.999568496683452"/>
    <n v="976.87956849668808"/>
    <n v="0"/>
    <n v="0"/>
    <n v="0"/>
    <n v="976.87956849668808"/>
  </r>
  <r>
    <x v="4"/>
    <d v="2023-06-05T00:00:00"/>
    <d v="2023-06-26T00:00:00"/>
    <x v="4"/>
    <n v="9"/>
    <n v="42"/>
    <n v="1716.58"/>
    <n v="1750.02"/>
    <n v="73500.84"/>
    <n v="72096.36"/>
    <n v="1404.4799999999959"/>
    <n v="115.1104398837298"/>
    <n v="1519.5904398837258"/>
    <n v="0"/>
    <n v="0"/>
    <n v="0"/>
    <n v="1519.5904398837258"/>
  </r>
  <r>
    <x v="5"/>
    <d v="2023-07-05T00:00:00"/>
    <d v="2023-07-24T00:00:00"/>
    <x v="4"/>
    <n v="9"/>
    <n v="56"/>
    <n v="1716.58"/>
    <n v="1750.02"/>
    <n v="98001.12"/>
    <n v="96128.48"/>
    <n v="1872.6399999999994"/>
    <n v="153.48058651163973"/>
    <n v="2026.1205865116392"/>
    <n v="0"/>
    <n v="0"/>
    <n v="0"/>
    <n v="2026.1205865116392"/>
  </r>
  <r>
    <x v="6"/>
    <d v="2023-08-03T00:00:00"/>
    <d v="2023-08-24T00:00:00"/>
    <x v="4"/>
    <n v="9"/>
    <n v="54"/>
    <n v="1716.58"/>
    <n v="1750.02"/>
    <n v="94501.08"/>
    <n v="92695.319999999992"/>
    <n v="1805.7600000000093"/>
    <n v="147.9991369933669"/>
    <n v="1953.7591369933762"/>
    <n v="0"/>
    <n v="0"/>
    <n v="0"/>
    <n v="1953.7591369933762"/>
  </r>
  <r>
    <x v="7"/>
    <d v="2023-09-05T00:00:00"/>
    <d v="2023-09-25T00:00:00"/>
    <x v="4"/>
    <n v="9"/>
    <n v="59"/>
    <n v="1716.58"/>
    <n v="1750.02"/>
    <n v="103251.18"/>
    <n v="101278.22"/>
    <n v="1972.9599999999919"/>
    <n v="161.70276078904899"/>
    <n v="2134.6627607890409"/>
    <n v="0"/>
    <n v="0"/>
    <n v="0"/>
    <n v="2134.6627607890409"/>
  </r>
  <r>
    <x v="8"/>
    <d v="2023-10-04T00:00:00"/>
    <d v="2023-10-24T00:00:00"/>
    <x v="4"/>
    <n v="9"/>
    <n v="54"/>
    <n v="1716.58"/>
    <n v="1750.02"/>
    <n v="94501.08"/>
    <n v="92695.319999999992"/>
    <n v="1805.7600000000093"/>
    <n v="147.9991369933669"/>
    <n v="1953.7591369933762"/>
    <n v="0"/>
    <n v="0"/>
    <n v="0"/>
    <n v="1953.7591369933762"/>
  </r>
  <r>
    <x v="9"/>
    <d v="2023-11-03T00:00:00"/>
    <d v="2023-11-24T00:00:00"/>
    <x v="4"/>
    <n v="9"/>
    <n v="37"/>
    <n v="1716.58"/>
    <n v="1750.02"/>
    <n v="64750.74"/>
    <n v="63513.46"/>
    <n v="1237.2799999999988"/>
    <n v="101.40681608804768"/>
    <n v="1338.6868160880465"/>
    <n v="0"/>
    <n v="0"/>
    <n v="0"/>
    <n v="1338.6868160880465"/>
  </r>
  <r>
    <x v="10"/>
    <d v="2023-12-06T00:00:00"/>
    <d v="2023-12-25T00:00:00"/>
    <x v="4"/>
    <n v="9"/>
    <n v="38"/>
    <n v="1716.58"/>
    <n v="1750.02"/>
    <n v="66500.759999999995"/>
    <n v="65230.039999999994"/>
    <n v="1270.7200000000012"/>
    <n v="104.1475408471841"/>
    <n v="1374.8675408471852"/>
    <n v="0"/>
    <n v="0"/>
    <n v="0"/>
    <n v="1374.8675408471852"/>
  </r>
  <r>
    <x v="11"/>
    <d v="2024-01-03T00:00:00"/>
    <d v="2024-01-24T00:00:00"/>
    <x v="4"/>
    <n v="9"/>
    <n v="35"/>
    <n v="1716.58"/>
    <n v="1750.02"/>
    <n v="61250.7"/>
    <n v="60080.299999999996"/>
    <n v="1170.4000000000015"/>
    <n v="95.925366569774823"/>
    <n v="1266.3253665697762"/>
    <n v="0"/>
    <n v="0"/>
    <n v="0"/>
    <n v="1266.3253665697762"/>
  </r>
  <r>
    <x v="0"/>
    <d v="2023-02-03T00:00:00"/>
    <d v="2023-02-24T00:00:00"/>
    <x v="5"/>
    <n v="9"/>
    <n v="53"/>
    <n v="1716.58"/>
    <n v="1750.02"/>
    <n v="92751.06"/>
    <n v="90978.739999999991"/>
    <n v="1772.320000000007"/>
    <n v="145.25841223423046"/>
    <n v="1917.5784122342375"/>
    <n v="0"/>
    <n v="0"/>
    <n v="0"/>
    <n v="1917.5784122342375"/>
  </r>
  <r>
    <x v="1"/>
    <d v="2023-03-03T00:00:00"/>
    <d v="2023-03-24T00:00:00"/>
    <x v="5"/>
    <n v="9"/>
    <n v="55"/>
    <n v="1716.58"/>
    <n v="1750.02"/>
    <n v="96251.1"/>
    <n v="94411.9"/>
    <n v="1839.2000000000116"/>
    <n v="150.73986175250332"/>
    <n v="1989.9398617525148"/>
    <n v="0"/>
    <n v="0"/>
    <n v="0"/>
    <n v="1989.9398617525148"/>
  </r>
  <r>
    <x v="2"/>
    <d v="2023-04-05T00:00:00"/>
    <d v="2023-04-24T00:00:00"/>
    <x v="5"/>
    <n v="9"/>
    <n v="46"/>
    <n v="1716.58"/>
    <n v="1750.02"/>
    <n v="80500.92"/>
    <n v="78962.679999999993"/>
    <n v="1538.2400000000052"/>
    <n v="126.07333892027549"/>
    <n v="1664.3133389202808"/>
    <n v="0"/>
    <n v="0"/>
    <n v="0"/>
    <n v="1664.3133389202808"/>
  </r>
  <r>
    <x v="3"/>
    <d v="2023-05-03T00:00:00"/>
    <d v="2023-05-24T00:00:00"/>
    <x v="5"/>
    <n v="9"/>
    <n v="33"/>
    <n v="1716.58"/>
    <n v="1750.02"/>
    <n v="57750.659999999996"/>
    <n v="56647.14"/>
    <n v="1103.5199999999968"/>
    <n v="90.443917051501984"/>
    <n v="1193.9639170514988"/>
    <n v="0"/>
    <n v="0"/>
    <n v="0"/>
    <n v="1193.9639170514988"/>
  </r>
  <r>
    <x v="4"/>
    <d v="2023-06-05T00:00:00"/>
    <d v="2023-06-26T00:00:00"/>
    <x v="5"/>
    <n v="9"/>
    <n v="44"/>
    <n v="1716.58"/>
    <n v="1750.02"/>
    <n v="77000.88"/>
    <n v="75529.51999999999"/>
    <n v="1471.3600000000151"/>
    <n v="120.59188940200265"/>
    <n v="1591.9518894020177"/>
    <n v="0"/>
    <n v="0"/>
    <n v="0"/>
    <n v="1591.9518894020177"/>
  </r>
  <r>
    <x v="5"/>
    <d v="2023-07-05T00:00:00"/>
    <d v="2023-07-24T00:00:00"/>
    <x v="5"/>
    <n v="9"/>
    <n v="55"/>
    <n v="1716.58"/>
    <n v="1750.02"/>
    <n v="96251.1"/>
    <n v="94411.9"/>
    <n v="1839.2000000000116"/>
    <n v="150.73986175250332"/>
    <n v="1989.9398617525148"/>
    <n v="0"/>
    <n v="0"/>
    <n v="0"/>
    <n v="1989.9398617525148"/>
  </r>
  <r>
    <x v="6"/>
    <d v="2023-08-03T00:00:00"/>
    <d v="2023-08-24T00:00:00"/>
    <x v="5"/>
    <n v="9"/>
    <n v="57"/>
    <n v="1716.58"/>
    <n v="1750.02"/>
    <n v="99751.14"/>
    <n v="97845.06"/>
    <n v="1906.0800000000017"/>
    <n v="156.22131127077614"/>
    <n v="2062.3013112707777"/>
    <n v="0"/>
    <n v="0"/>
    <n v="0"/>
    <n v="2062.3013112707777"/>
  </r>
  <r>
    <x v="7"/>
    <d v="2023-09-05T00:00:00"/>
    <d v="2023-09-25T00:00:00"/>
    <x v="5"/>
    <n v="9"/>
    <n v="56"/>
    <n v="1716.58"/>
    <n v="1750.02"/>
    <n v="98001.12"/>
    <n v="96128.48"/>
    <n v="1872.6399999999994"/>
    <n v="153.48058651163973"/>
    <n v="2026.1205865116392"/>
    <n v="0"/>
    <n v="0"/>
    <n v="0"/>
    <n v="2026.1205865116392"/>
  </r>
  <r>
    <x v="8"/>
    <d v="2023-10-04T00:00:00"/>
    <d v="2023-10-24T00:00:00"/>
    <x v="5"/>
    <n v="9"/>
    <n v="60"/>
    <n v="1716.58"/>
    <n v="1750.02"/>
    <n v="105001.2"/>
    <n v="102994.79999999999"/>
    <n v="2006.4000000000087"/>
    <n v="164.44348554818541"/>
    <n v="2170.8434855481942"/>
    <n v="0"/>
    <n v="0"/>
    <n v="0"/>
    <n v="2170.8434855481942"/>
  </r>
  <r>
    <x v="9"/>
    <d v="2023-11-03T00:00:00"/>
    <d v="2023-11-24T00:00:00"/>
    <x v="5"/>
    <n v="9"/>
    <n v="48"/>
    <n v="1716.58"/>
    <n v="1750.02"/>
    <n v="84000.959999999992"/>
    <n v="82395.839999999997"/>
    <n v="1605.1199999999953"/>
    <n v="131.55478843854834"/>
    <n v="1736.6747884385436"/>
    <n v="0"/>
    <n v="0"/>
    <n v="0"/>
    <n v="1736.6747884385436"/>
  </r>
  <r>
    <x v="10"/>
    <d v="2023-12-06T00:00:00"/>
    <d v="2023-12-25T00:00:00"/>
    <x v="5"/>
    <n v="9"/>
    <n v="54"/>
    <n v="1716.58"/>
    <n v="1750.02"/>
    <n v="94501.08"/>
    <n v="92695.319999999992"/>
    <n v="1805.7600000000093"/>
    <n v="147.9991369933669"/>
    <n v="1953.7591369933762"/>
    <n v="0"/>
    <n v="0"/>
    <n v="0"/>
    <n v="1953.7591369933762"/>
  </r>
  <r>
    <x v="11"/>
    <d v="2024-01-03T00:00:00"/>
    <d v="2024-01-24T00:00:00"/>
    <x v="5"/>
    <n v="9"/>
    <n v="55"/>
    <n v="1716.58"/>
    <n v="1750.02"/>
    <n v="96251.1"/>
    <n v="94411.9"/>
    <n v="1839.2000000000116"/>
    <n v="150.73986175250332"/>
    <n v="1989.9398617525148"/>
    <n v="0"/>
    <n v="0"/>
    <n v="0"/>
    <n v="1989.9398617525148"/>
  </r>
  <r>
    <x v="0"/>
    <d v="2023-02-03T00:00:00"/>
    <d v="2023-02-24T00:00:00"/>
    <x v="6"/>
    <n v="9"/>
    <n v="84"/>
    <n v="1716.58"/>
    <n v="1750.02"/>
    <n v="147001.68"/>
    <n v="144192.72"/>
    <n v="2808.9599999999919"/>
    <n v="230.22087976745959"/>
    <n v="3039.1808797674516"/>
    <n v="0"/>
    <n v="0"/>
    <n v="0"/>
    <n v="3039.1808797674516"/>
  </r>
  <r>
    <x v="1"/>
    <d v="2023-03-03T00:00:00"/>
    <d v="2023-03-24T00:00:00"/>
    <x v="6"/>
    <n v="9"/>
    <n v="83"/>
    <n v="1716.58"/>
    <n v="1750.02"/>
    <n v="145251.66"/>
    <n v="142476.13999999998"/>
    <n v="2775.5200000000186"/>
    <n v="227.48015500832315"/>
    <n v="3003.0001550083416"/>
    <n v="0"/>
    <n v="0"/>
    <n v="0"/>
    <n v="3003.0001550083416"/>
  </r>
  <r>
    <x v="2"/>
    <d v="2023-04-05T00:00:00"/>
    <d v="2023-04-24T00:00:00"/>
    <x v="6"/>
    <n v="9"/>
    <n v="76"/>
    <n v="1716.58"/>
    <n v="1750.02"/>
    <n v="133001.51999999999"/>
    <n v="130460.07999999999"/>
    <n v="2541.4400000000023"/>
    <n v="208.29508169436821"/>
    <n v="2749.7350816943704"/>
    <n v="0"/>
    <n v="0"/>
    <n v="0"/>
    <n v="2749.7350816943704"/>
  </r>
  <r>
    <x v="3"/>
    <d v="2023-05-03T00:00:00"/>
    <d v="2023-05-24T00:00:00"/>
    <x v="6"/>
    <n v="9"/>
    <n v="69"/>
    <n v="1716.58"/>
    <n v="1750.02"/>
    <n v="120751.38"/>
    <n v="118444.01999999999"/>
    <n v="2307.3600000000151"/>
    <n v="189.11000838041323"/>
    <n v="2496.4700083804282"/>
    <n v="0"/>
    <n v="0"/>
    <n v="0"/>
    <n v="2496.4700083804282"/>
  </r>
  <r>
    <x v="4"/>
    <d v="2023-06-05T00:00:00"/>
    <d v="2023-06-26T00:00:00"/>
    <x v="6"/>
    <n v="9"/>
    <n v="99"/>
    <n v="1716.58"/>
    <n v="1750.02"/>
    <n v="173251.98"/>
    <n v="169941.41999999998"/>
    <n v="3310.5600000000268"/>
    <n v="271.33175115450598"/>
    <n v="3581.8917511545328"/>
    <n v="0"/>
    <n v="0"/>
    <n v="0"/>
    <n v="3581.8917511545328"/>
  </r>
  <r>
    <x v="5"/>
    <d v="2023-07-05T00:00:00"/>
    <d v="2023-07-24T00:00:00"/>
    <x v="6"/>
    <n v="9"/>
    <n v="149"/>
    <n v="1716.58"/>
    <n v="1750.02"/>
    <n v="260752.98"/>
    <n v="255770.41999999998"/>
    <n v="4982.5600000000268"/>
    <n v="408.36798911132712"/>
    <n v="5390.9279891113538"/>
    <n v="0"/>
    <n v="0"/>
    <n v="0"/>
    <n v="5390.9279891113538"/>
  </r>
  <r>
    <x v="6"/>
    <d v="2023-08-03T00:00:00"/>
    <d v="2023-08-24T00:00:00"/>
    <x v="6"/>
    <n v="9"/>
    <n v="148"/>
    <n v="1716.58"/>
    <n v="1750.02"/>
    <n v="259002.96"/>
    <n v="254053.84"/>
    <n v="4949.1199999999953"/>
    <n v="405.62726435219071"/>
    <n v="5354.747264352186"/>
    <n v="0"/>
    <n v="0"/>
    <n v="0"/>
    <n v="5354.747264352186"/>
  </r>
  <r>
    <x v="7"/>
    <d v="2023-09-05T00:00:00"/>
    <d v="2023-09-25T00:00:00"/>
    <x v="6"/>
    <n v="9"/>
    <n v="160"/>
    <n v="1716.58"/>
    <n v="1750.02"/>
    <n v="280003.20000000001"/>
    <n v="274652.79999999999"/>
    <n v="5350.4000000000233"/>
    <n v="438.51596146182783"/>
    <n v="5788.9159614618511"/>
    <n v="0"/>
    <n v="0"/>
    <n v="0"/>
    <n v="5788.9159614618511"/>
  </r>
  <r>
    <x v="8"/>
    <d v="2023-10-04T00:00:00"/>
    <d v="2023-10-24T00:00:00"/>
    <x v="6"/>
    <n v="9"/>
    <n v="155"/>
    <n v="1716.58"/>
    <n v="1750.02"/>
    <n v="271253.09999999998"/>
    <n v="266069.89999999997"/>
    <n v="5183.2000000000116"/>
    <n v="424.81233766614565"/>
    <n v="5608.0123376661577"/>
    <n v="0"/>
    <n v="0"/>
    <n v="0"/>
    <n v="5608.0123376661577"/>
  </r>
  <r>
    <x v="9"/>
    <d v="2023-11-03T00:00:00"/>
    <d v="2023-11-24T00:00:00"/>
    <x v="6"/>
    <n v="9"/>
    <n v="110"/>
    <n v="1716.58"/>
    <n v="1750.02"/>
    <n v="192502.2"/>
    <n v="188823.8"/>
    <n v="3678.4000000000233"/>
    <n v="301.47972350500663"/>
    <n v="3979.8797235050297"/>
    <n v="0"/>
    <n v="0"/>
    <n v="0"/>
    <n v="3979.8797235050297"/>
  </r>
  <r>
    <x v="10"/>
    <d v="2023-12-06T00:00:00"/>
    <d v="2023-12-25T00:00:00"/>
    <x v="6"/>
    <n v="9"/>
    <n v="70"/>
    <n v="1716.58"/>
    <n v="1750.02"/>
    <n v="122501.4"/>
    <n v="120160.59999999999"/>
    <n v="2340.8000000000029"/>
    <n v="191.85073313954965"/>
    <n v="2532.6507331395524"/>
    <n v="0"/>
    <n v="0"/>
    <n v="0"/>
    <n v="2532.6507331395524"/>
  </r>
  <r>
    <x v="11"/>
    <d v="2024-01-03T00:00:00"/>
    <d v="2024-01-24T00:00:00"/>
    <x v="6"/>
    <n v="9"/>
    <n v="66"/>
    <n v="1716.58"/>
    <n v="1750.02"/>
    <n v="115501.31999999999"/>
    <n v="113294.28"/>
    <n v="2207.0399999999936"/>
    <n v="180.88783410300397"/>
    <n v="2387.9278341029976"/>
    <n v="0"/>
    <n v="0"/>
    <n v="0"/>
    <n v="2387.9278341029976"/>
  </r>
  <r>
    <x v="0"/>
    <d v="2023-02-03T00:00:00"/>
    <d v="2023-02-24T00:00:00"/>
    <x v="7"/>
    <n v="9"/>
    <n v="63"/>
    <n v="1716.58"/>
    <n v="1750.02"/>
    <n v="110251.26"/>
    <n v="108144.54"/>
    <n v="2106.7200000000012"/>
    <n v="172.66565982559467"/>
    <n v="2279.3856598255957"/>
    <n v="0"/>
    <n v="0"/>
    <n v="0"/>
    <n v="2279.3856598255957"/>
  </r>
  <r>
    <x v="1"/>
    <d v="2023-03-03T00:00:00"/>
    <d v="2023-03-24T00:00:00"/>
    <x v="7"/>
    <n v="9"/>
    <n v="63"/>
    <n v="1716.58"/>
    <n v="1750.02"/>
    <n v="110251.26"/>
    <n v="108144.54"/>
    <n v="2106.7200000000012"/>
    <n v="172.66565982559467"/>
    <n v="2279.3856598255957"/>
    <n v="0"/>
    <n v="0"/>
    <n v="0"/>
    <n v="2279.3856598255957"/>
  </r>
  <r>
    <x v="2"/>
    <d v="2023-04-05T00:00:00"/>
    <d v="2023-04-24T00:00:00"/>
    <x v="7"/>
    <n v="9"/>
    <n v="67"/>
    <n v="1716.58"/>
    <n v="1750.02"/>
    <n v="117251.34"/>
    <n v="115010.86"/>
    <n v="2240.4799999999959"/>
    <n v="183.62855886214041"/>
    <n v="2424.1085588621363"/>
    <n v="0"/>
    <n v="0"/>
    <n v="0"/>
    <n v="2424.1085588621363"/>
  </r>
  <r>
    <x v="3"/>
    <d v="2023-05-03T00:00:00"/>
    <d v="2023-05-24T00:00:00"/>
    <x v="7"/>
    <n v="9"/>
    <n v="62"/>
    <n v="1716.58"/>
    <n v="1750.02"/>
    <n v="108501.24"/>
    <n v="106427.95999999999"/>
    <n v="2073.2800000000134"/>
    <n v="169.92493506645826"/>
    <n v="2243.2049350664715"/>
    <n v="0"/>
    <n v="0"/>
    <n v="0"/>
    <n v="2243.2049350664715"/>
  </r>
  <r>
    <x v="4"/>
    <d v="2023-06-05T00:00:00"/>
    <d v="2023-06-26T00:00:00"/>
    <x v="7"/>
    <n v="9"/>
    <n v="51"/>
    <n v="1716.58"/>
    <n v="1750.02"/>
    <n v="89251.02"/>
    <n v="87545.58"/>
    <n v="1705.4400000000023"/>
    <n v="139.77696271595761"/>
    <n v="1845.2169627159599"/>
    <n v="0"/>
    <n v="0"/>
    <n v="0"/>
    <n v="1845.2169627159599"/>
  </r>
  <r>
    <x v="5"/>
    <d v="2023-07-05T00:00:00"/>
    <d v="2023-07-24T00:00:00"/>
    <x v="7"/>
    <n v="9"/>
    <n v="67"/>
    <n v="1716.58"/>
    <n v="1750.02"/>
    <n v="117251.34"/>
    <n v="115010.86"/>
    <n v="2240.4799999999959"/>
    <n v="183.62855886214041"/>
    <n v="2424.1085588621363"/>
    <n v="0"/>
    <n v="0"/>
    <n v="0"/>
    <n v="2424.1085588621363"/>
  </r>
  <r>
    <x v="6"/>
    <d v="2023-08-03T00:00:00"/>
    <d v="2023-08-24T00:00:00"/>
    <x v="7"/>
    <n v="9"/>
    <n v="66"/>
    <n v="1716.58"/>
    <n v="1750.02"/>
    <n v="115501.31999999999"/>
    <n v="113294.28"/>
    <n v="2207.0399999999936"/>
    <n v="180.88783410300397"/>
    <n v="2387.9278341029976"/>
    <n v="0"/>
    <n v="0"/>
    <n v="0"/>
    <n v="2387.9278341029976"/>
  </r>
  <r>
    <x v="7"/>
    <d v="2023-09-05T00:00:00"/>
    <d v="2023-09-25T00:00:00"/>
    <x v="7"/>
    <n v="9"/>
    <n v="61"/>
    <n v="1716.58"/>
    <n v="1750.02"/>
    <n v="106751.22"/>
    <n v="104711.37999999999"/>
    <n v="2039.8400000000111"/>
    <n v="167.18421030732185"/>
    <n v="2207.0242103073329"/>
    <n v="0"/>
    <n v="0"/>
    <n v="0"/>
    <n v="2207.0242103073329"/>
  </r>
  <r>
    <x v="8"/>
    <d v="2023-10-04T00:00:00"/>
    <d v="2023-10-24T00:00:00"/>
    <x v="7"/>
    <n v="9"/>
    <n v="55"/>
    <n v="1716.58"/>
    <n v="1750.02"/>
    <n v="96251.1"/>
    <n v="94411.9"/>
    <n v="1839.2000000000116"/>
    <n v="150.73986175250332"/>
    <n v="1989.9398617525148"/>
    <n v="0"/>
    <n v="0"/>
    <n v="0"/>
    <n v="1989.9398617525148"/>
  </r>
  <r>
    <x v="9"/>
    <d v="2023-11-03T00:00:00"/>
    <d v="2023-11-24T00:00:00"/>
    <x v="7"/>
    <n v="9"/>
    <n v="59"/>
    <n v="1716.58"/>
    <n v="1750.02"/>
    <n v="103251.18"/>
    <n v="101278.22"/>
    <n v="1972.9599999999919"/>
    <n v="161.70276078904899"/>
    <n v="2134.6627607890409"/>
    <n v="0"/>
    <n v="0"/>
    <n v="0"/>
    <n v="2134.6627607890409"/>
  </r>
  <r>
    <x v="10"/>
    <d v="2023-12-06T00:00:00"/>
    <d v="2023-12-25T00:00:00"/>
    <x v="7"/>
    <n v="9"/>
    <n v="63"/>
    <n v="1716.58"/>
    <n v="1750.02"/>
    <n v="110251.26"/>
    <n v="108144.54"/>
    <n v="2106.7200000000012"/>
    <n v="172.66565982559467"/>
    <n v="2279.3856598255957"/>
    <n v="0"/>
    <n v="0"/>
    <n v="0"/>
    <n v="2279.3856598255957"/>
  </r>
  <r>
    <x v="11"/>
    <d v="2024-01-03T00:00:00"/>
    <d v="2024-01-24T00:00:00"/>
    <x v="7"/>
    <n v="9"/>
    <n v="63"/>
    <n v="1716.58"/>
    <n v="1750.02"/>
    <n v="110251.26"/>
    <n v="108144.54"/>
    <n v="2106.7200000000012"/>
    <n v="172.66565982559467"/>
    <n v="2279.3856598255957"/>
    <n v="0"/>
    <n v="0"/>
    <n v="0"/>
    <n v="2279.3856598255957"/>
  </r>
  <r>
    <x v="0"/>
    <d v="2023-02-03T00:00:00"/>
    <d v="2023-02-24T00:00:00"/>
    <x v="8"/>
    <n v="9"/>
    <n v="967"/>
    <n v="1716.58"/>
    <n v="1750.02"/>
    <n v="1692269.34"/>
    <n v="1659932.8599999999"/>
    <n v="32336.480000000214"/>
    <n v="2650.2808420849219"/>
    <n v="34986.760842085139"/>
    <n v="0"/>
    <n v="0"/>
    <n v="0"/>
    <n v="34986.760842085139"/>
  </r>
  <r>
    <x v="1"/>
    <d v="2023-03-03T00:00:00"/>
    <d v="2023-03-24T00:00:00"/>
    <x v="8"/>
    <n v="9"/>
    <n v="955"/>
    <n v="1716.58"/>
    <n v="1750.02"/>
    <n v="1671269.1"/>
    <n v="1639333.9"/>
    <n v="31935.200000000186"/>
    <n v="2617.3921449752847"/>
    <n v="34552.592144975468"/>
    <n v="0"/>
    <n v="0"/>
    <n v="0"/>
    <n v="34552.592144975468"/>
  </r>
  <r>
    <x v="2"/>
    <d v="2023-04-05T00:00:00"/>
    <d v="2023-04-24T00:00:00"/>
    <x v="8"/>
    <n v="9"/>
    <n v="872"/>
    <n v="1716.58"/>
    <n v="1750.02"/>
    <n v="1526017.44"/>
    <n v="1496857.76"/>
    <n v="29159.679999999935"/>
    <n v="2389.9119899669613"/>
    <n v="31549.591989966895"/>
    <n v="0"/>
    <n v="0"/>
    <n v="0"/>
    <n v="31549.591989966895"/>
  </r>
  <r>
    <x v="3"/>
    <d v="2023-05-03T00:00:00"/>
    <d v="2023-05-24T00:00:00"/>
    <x v="8"/>
    <n v="9"/>
    <n v="602"/>
    <n v="1716.58"/>
    <n v="1750.02"/>
    <n v="1053512.04"/>
    <n v="1033381.1599999999"/>
    <n v="20130.880000000121"/>
    <n v="1649.9163050001271"/>
    <n v="21780.796305000247"/>
    <n v="0"/>
    <n v="0"/>
    <n v="0"/>
    <n v="21780.796305000247"/>
  </r>
  <r>
    <x v="4"/>
    <d v="2023-06-05T00:00:00"/>
    <d v="2023-06-26T00:00:00"/>
    <x v="8"/>
    <n v="9"/>
    <n v="711"/>
    <n v="1716.58"/>
    <n v="1750.02"/>
    <n v="1244264.22"/>
    <n v="1220488.3799999999"/>
    <n v="23775.840000000084"/>
    <n v="1948.6553037459971"/>
    <n v="25724.49530374608"/>
    <n v="0"/>
    <n v="0"/>
    <n v="0"/>
    <n v="25724.49530374608"/>
  </r>
  <r>
    <x v="5"/>
    <d v="2023-07-05T00:00:00"/>
    <d v="2023-07-24T00:00:00"/>
    <x v="8"/>
    <n v="9"/>
    <n v="936"/>
    <n v="1716.58"/>
    <n v="1750.02"/>
    <n v="1638018.72"/>
    <n v="1606718.88"/>
    <n v="31299.840000000084"/>
    <n v="2565.3183745516926"/>
    <n v="33865.158374551778"/>
    <n v="0"/>
    <n v="0"/>
    <n v="0"/>
    <n v="33865.158374551778"/>
  </r>
  <r>
    <x v="6"/>
    <d v="2023-08-03T00:00:00"/>
    <d v="2023-08-24T00:00:00"/>
    <x v="8"/>
    <n v="9"/>
    <n v="932"/>
    <n v="1716.58"/>
    <n v="1750.02"/>
    <n v="1631018.64"/>
    <n v="1599852.5599999998"/>
    <n v="31166.080000000075"/>
    <n v="2554.3554755151472"/>
    <n v="33720.435475515224"/>
    <n v="0"/>
    <n v="0"/>
    <n v="0"/>
    <n v="33720.435475515224"/>
  </r>
  <r>
    <x v="7"/>
    <d v="2023-09-05T00:00:00"/>
    <d v="2023-09-25T00:00:00"/>
    <x v="8"/>
    <n v="9"/>
    <n v="1025"/>
    <n v="1716.58"/>
    <n v="1750.02"/>
    <n v="1793770.5"/>
    <n v="1759494.5"/>
    <n v="34276"/>
    <n v="2809.2428781148342"/>
    <n v="37085.242878114834"/>
    <n v="0"/>
    <n v="0"/>
    <n v="0"/>
    <n v="37085.242878114834"/>
  </r>
  <r>
    <x v="8"/>
    <d v="2023-10-04T00:00:00"/>
    <d v="2023-10-24T00:00:00"/>
    <x v="8"/>
    <n v="9"/>
    <n v="934"/>
    <n v="1716.58"/>
    <n v="1750.02"/>
    <n v="1634518.68"/>
    <n v="1603285.72"/>
    <n v="31232.959999999963"/>
    <n v="2559.8369250334199"/>
    <n v="33792.796925033384"/>
    <n v="0"/>
    <n v="0"/>
    <n v="0"/>
    <n v="33792.796925033384"/>
  </r>
  <r>
    <x v="9"/>
    <d v="2023-11-03T00:00:00"/>
    <d v="2023-11-24T00:00:00"/>
    <x v="8"/>
    <n v="9"/>
    <n v="700"/>
    <n v="1716.58"/>
    <n v="1750.02"/>
    <n v="1225014"/>
    <n v="1201606"/>
    <n v="23408"/>
    <n v="1918.5073313954965"/>
    <n v="25326.507331395496"/>
    <n v="0"/>
    <n v="0"/>
    <n v="0"/>
    <n v="25326.507331395496"/>
  </r>
  <r>
    <x v="10"/>
    <d v="2023-12-06T00:00:00"/>
    <d v="2023-12-25T00:00:00"/>
    <x v="8"/>
    <n v="9"/>
    <n v="867"/>
    <n v="1716.58"/>
    <n v="1750.02"/>
    <n v="1517267.34"/>
    <n v="1488274.8599999999"/>
    <n v="28992.480000000214"/>
    <n v="2376.2083661712795"/>
    <n v="31368.688366171493"/>
    <n v="0"/>
    <n v="0"/>
    <n v="0"/>
    <n v="31368.688366171493"/>
  </r>
  <r>
    <x v="11"/>
    <d v="2024-01-03T00:00:00"/>
    <d v="2024-01-24T00:00:00"/>
    <x v="8"/>
    <n v="9"/>
    <n v="916"/>
    <n v="1716.58"/>
    <n v="1750.02"/>
    <n v="1603018.32"/>
    <n v="1572387.28"/>
    <n v="30631.040000000037"/>
    <n v="2510.5038793689641"/>
    <n v="33141.543879369005"/>
    <n v="0"/>
    <n v="0"/>
    <n v="0"/>
    <n v="33141.543879369005"/>
  </r>
  <r>
    <x v="0"/>
    <d v="2023-02-03T00:00:00"/>
    <d v="2023-02-24T00:00:00"/>
    <x v="9"/>
    <n v="9"/>
    <n v="6"/>
    <n v="1716.58"/>
    <n v="1750.02"/>
    <n v="10500.119999999999"/>
    <n v="10299.48"/>
    <n v="200.63999999999942"/>
    <n v="16.444348554818543"/>
    <n v="217.08434855481795"/>
    <n v="0"/>
    <n v="0"/>
    <n v="0"/>
    <n v="217.08434855481795"/>
  </r>
  <r>
    <x v="1"/>
    <d v="2023-03-03T00:00:00"/>
    <d v="2023-03-24T00:00:00"/>
    <x v="9"/>
    <n v="9"/>
    <n v="5"/>
    <n v="1716.58"/>
    <n v="1750.02"/>
    <n v="8750.1"/>
    <n v="8582.9"/>
    <n v="167.20000000000073"/>
    <n v="13.70362379568212"/>
    <n v="180.90362379568285"/>
    <n v="0"/>
    <n v="0"/>
    <n v="0"/>
    <n v="180.90362379568285"/>
  </r>
  <r>
    <x v="2"/>
    <d v="2023-04-05T00:00:00"/>
    <d v="2023-04-24T00:00:00"/>
    <x v="9"/>
    <n v="9"/>
    <n v="5"/>
    <n v="1716.58"/>
    <n v="1750.02"/>
    <n v="8750.1"/>
    <n v="8582.9"/>
    <n v="167.20000000000073"/>
    <n v="13.70362379568212"/>
    <n v="180.90362379568285"/>
    <n v="0"/>
    <n v="0"/>
    <n v="0"/>
    <n v="180.90362379568285"/>
  </r>
  <r>
    <x v="3"/>
    <d v="2023-05-03T00:00:00"/>
    <d v="2023-05-24T00:00:00"/>
    <x v="9"/>
    <n v="9"/>
    <n v="7"/>
    <n v="1716.58"/>
    <n v="1750.02"/>
    <n v="12250.14"/>
    <n v="12016.06"/>
    <n v="234.07999999999993"/>
    <n v="19.185073313954966"/>
    <n v="253.2650733139549"/>
    <n v="0"/>
    <n v="0"/>
    <n v="0"/>
    <n v="253.2650733139549"/>
  </r>
  <r>
    <x v="4"/>
    <d v="2023-06-05T00:00:00"/>
    <d v="2023-06-26T00:00:00"/>
    <x v="9"/>
    <n v="9"/>
    <n v="4"/>
    <n v="1716.58"/>
    <n v="1750.02"/>
    <n v="7000.08"/>
    <n v="6866.32"/>
    <n v="133.76000000000022"/>
    <n v="10.962899036545695"/>
    <n v="144.72289903654593"/>
    <n v="0"/>
    <n v="0"/>
    <n v="0"/>
    <n v="144.72289903654593"/>
  </r>
  <r>
    <x v="5"/>
    <d v="2023-07-05T00:00:00"/>
    <d v="2023-07-24T00:00:00"/>
    <x v="9"/>
    <n v="9"/>
    <n v="14"/>
    <n v="1716.58"/>
    <n v="1750.02"/>
    <n v="24500.28"/>
    <n v="24032.12"/>
    <n v="468.15999999999985"/>
    <n v="38.370146627909932"/>
    <n v="506.5301466279098"/>
    <n v="0"/>
    <n v="0"/>
    <n v="0"/>
    <n v="506.5301466279098"/>
  </r>
  <r>
    <x v="6"/>
    <d v="2023-08-03T00:00:00"/>
    <d v="2023-08-24T00:00:00"/>
    <x v="9"/>
    <n v="9"/>
    <n v="13"/>
    <n v="1716.58"/>
    <n v="1750.02"/>
    <n v="22750.26"/>
    <n v="22315.54"/>
    <n v="434.71999999999753"/>
    <n v="35.629421868773505"/>
    <n v="470.34942186877106"/>
    <n v="0"/>
    <n v="0"/>
    <n v="0"/>
    <n v="470.34942186877106"/>
  </r>
  <r>
    <x v="7"/>
    <d v="2023-09-05T00:00:00"/>
    <d v="2023-09-25T00:00:00"/>
    <x v="9"/>
    <n v="9"/>
    <n v="19"/>
    <n v="1716.58"/>
    <n v="1750.02"/>
    <n v="33250.379999999997"/>
    <n v="32615.019999999997"/>
    <n v="635.36000000000058"/>
    <n v="52.073770423592052"/>
    <n v="687.43377042359259"/>
    <n v="0"/>
    <n v="0"/>
    <n v="0"/>
    <n v="687.43377042359259"/>
  </r>
  <r>
    <x v="8"/>
    <d v="2023-10-04T00:00:00"/>
    <d v="2023-10-24T00:00:00"/>
    <x v="9"/>
    <n v="9"/>
    <n v="18"/>
    <n v="1716.58"/>
    <n v="1750.02"/>
    <n v="31500.36"/>
    <n v="30898.44"/>
    <n v="601.92000000000189"/>
    <n v="49.333045664455625"/>
    <n v="651.25304566445755"/>
    <n v="0"/>
    <n v="0"/>
    <n v="0"/>
    <n v="651.25304566445755"/>
  </r>
  <r>
    <x v="9"/>
    <d v="2023-11-03T00:00:00"/>
    <d v="2023-11-24T00:00:00"/>
    <x v="9"/>
    <n v="9"/>
    <n v="6"/>
    <n v="1716.58"/>
    <n v="1750.02"/>
    <n v="10500.119999999999"/>
    <n v="10299.48"/>
    <n v="200.63999999999942"/>
    <n v="16.444348554818543"/>
    <n v="217.08434855481795"/>
    <n v="0"/>
    <n v="0"/>
    <n v="0"/>
    <n v="217.08434855481795"/>
  </r>
  <r>
    <x v="10"/>
    <d v="2023-12-06T00:00:00"/>
    <d v="2023-12-25T00:00:00"/>
    <x v="9"/>
    <n v="9"/>
    <n v="6"/>
    <n v="1716.58"/>
    <n v="1750.02"/>
    <n v="10500.119999999999"/>
    <n v="10299.48"/>
    <n v="200.63999999999942"/>
    <n v="16.444348554818543"/>
    <n v="217.08434855481795"/>
    <n v="0"/>
    <n v="0"/>
    <n v="0"/>
    <n v="217.08434855481795"/>
  </r>
  <r>
    <x v="11"/>
    <d v="2024-01-03T00:00:00"/>
    <d v="2024-01-24T00:00:00"/>
    <x v="9"/>
    <n v="9"/>
    <n v="5"/>
    <n v="1716.58"/>
    <n v="1750.02"/>
    <n v="8750.1"/>
    <n v="8582.9"/>
    <n v="167.20000000000073"/>
    <n v="13.70362379568212"/>
    <n v="180.90362379568285"/>
    <n v="0"/>
    <n v="0"/>
    <n v="0"/>
    <n v="180.90362379568285"/>
  </r>
  <r>
    <x v="0"/>
    <d v="2023-02-03T00:00:00"/>
    <d v="2023-02-24T00:00:00"/>
    <x v="10"/>
    <n v="9"/>
    <n v="4"/>
    <n v="1716.58"/>
    <n v="1750.02"/>
    <n v="7000.08"/>
    <n v="6866.32"/>
    <n v="133.76000000000022"/>
    <n v="10.962899036545695"/>
    <n v="144.72289903654593"/>
    <n v="0"/>
    <n v="0"/>
    <n v="0"/>
    <n v="144.72289903654593"/>
  </r>
  <r>
    <x v="1"/>
    <d v="2023-03-03T00:00:00"/>
    <d v="2023-03-24T00:00:00"/>
    <x v="10"/>
    <n v="9"/>
    <n v="5"/>
    <n v="1716.58"/>
    <n v="1750.02"/>
    <n v="8750.1"/>
    <n v="8582.9"/>
    <n v="167.20000000000073"/>
    <n v="13.70362379568212"/>
    <n v="180.90362379568285"/>
    <n v="0"/>
    <n v="0"/>
    <n v="0"/>
    <n v="180.90362379568285"/>
  </r>
  <r>
    <x v="2"/>
    <d v="2023-04-05T00:00:00"/>
    <d v="2023-04-24T00:00:00"/>
    <x v="10"/>
    <n v="9"/>
    <n v="1"/>
    <n v="1716.58"/>
    <n v="1750.02"/>
    <n v="1750.02"/>
    <n v="1716.58"/>
    <n v="33.440000000000055"/>
    <n v="2.7407247591364237"/>
    <n v="36.180724759136481"/>
    <n v="0"/>
    <n v="0"/>
    <n v="0"/>
    <n v="36.180724759136481"/>
  </r>
  <r>
    <x v="3"/>
    <d v="2023-05-03T00:00:00"/>
    <d v="2023-05-24T00:00:00"/>
    <x v="10"/>
    <n v="9"/>
    <n v="7"/>
    <n v="1716.58"/>
    <n v="1750.02"/>
    <n v="12250.14"/>
    <n v="12016.06"/>
    <n v="234.07999999999993"/>
    <n v="19.185073313954966"/>
    <n v="253.2650733139549"/>
    <n v="0"/>
    <n v="0"/>
    <n v="0"/>
    <n v="253.2650733139549"/>
  </r>
  <r>
    <x v="4"/>
    <d v="2023-06-05T00:00:00"/>
    <d v="2023-06-26T00:00:00"/>
    <x v="10"/>
    <n v="9"/>
    <n v="3"/>
    <n v="1716.58"/>
    <n v="1750.02"/>
    <n v="5250.0599999999995"/>
    <n v="5149.74"/>
    <n v="100.31999999999971"/>
    <n v="8.2221742774092714"/>
    <n v="108.54217427740898"/>
    <n v="0"/>
    <n v="0"/>
    <n v="0"/>
    <n v="108.54217427740898"/>
  </r>
  <r>
    <x v="5"/>
    <d v="2023-07-05T00:00:00"/>
    <d v="2023-07-24T00:00:00"/>
    <x v="10"/>
    <n v="9"/>
    <n v="7"/>
    <n v="1716.58"/>
    <n v="1750.02"/>
    <n v="12250.14"/>
    <n v="12016.06"/>
    <n v="234.07999999999993"/>
    <n v="19.185073313954966"/>
    <n v="253.2650733139549"/>
    <n v="0"/>
    <n v="0"/>
    <n v="0"/>
    <n v="253.2650733139549"/>
  </r>
  <r>
    <x v="6"/>
    <d v="2023-08-03T00:00:00"/>
    <d v="2023-08-24T00:00:00"/>
    <x v="10"/>
    <n v="9"/>
    <n v="5"/>
    <n v="1716.58"/>
    <n v="1750.02"/>
    <n v="8750.1"/>
    <n v="8582.9"/>
    <n v="167.20000000000073"/>
    <n v="13.70362379568212"/>
    <n v="180.90362379568285"/>
    <n v="0"/>
    <n v="0"/>
    <n v="0"/>
    <n v="180.90362379568285"/>
  </r>
  <r>
    <x v="7"/>
    <d v="2023-09-05T00:00:00"/>
    <d v="2023-09-25T00:00:00"/>
    <x v="10"/>
    <n v="9"/>
    <n v="5"/>
    <n v="1716.58"/>
    <n v="1750.02"/>
    <n v="8750.1"/>
    <n v="8582.9"/>
    <n v="167.20000000000073"/>
    <n v="13.70362379568212"/>
    <n v="180.90362379568285"/>
    <n v="0"/>
    <n v="0"/>
    <n v="0"/>
    <n v="180.90362379568285"/>
  </r>
  <r>
    <x v="8"/>
    <d v="2023-10-04T00:00:00"/>
    <d v="2023-10-24T00:00:00"/>
    <x v="10"/>
    <n v="9"/>
    <n v="6"/>
    <n v="1716.58"/>
    <n v="1750.02"/>
    <n v="10500.119999999999"/>
    <n v="10299.48"/>
    <n v="200.63999999999942"/>
    <n v="16.444348554818543"/>
    <n v="217.08434855481795"/>
    <n v="0"/>
    <n v="0"/>
    <n v="0"/>
    <n v="217.08434855481795"/>
  </r>
  <r>
    <x v="9"/>
    <d v="2023-11-03T00:00:00"/>
    <d v="2023-11-24T00:00:00"/>
    <x v="10"/>
    <n v="9"/>
    <n v="5"/>
    <n v="1716.58"/>
    <n v="1750.02"/>
    <n v="8750.1"/>
    <n v="8582.9"/>
    <n v="167.20000000000073"/>
    <n v="13.70362379568212"/>
    <n v="180.90362379568285"/>
    <n v="0"/>
    <n v="0"/>
    <n v="0"/>
    <n v="180.90362379568285"/>
  </r>
  <r>
    <x v="10"/>
    <d v="2023-12-06T00:00:00"/>
    <d v="2023-12-25T00:00:00"/>
    <x v="10"/>
    <n v="9"/>
    <n v="4"/>
    <n v="1716.58"/>
    <n v="1750.02"/>
    <n v="7000.08"/>
    <n v="6866.32"/>
    <n v="133.76000000000022"/>
    <n v="10.962899036545695"/>
    <n v="144.72289903654593"/>
    <n v="0"/>
    <n v="0"/>
    <n v="0"/>
    <n v="144.72289903654593"/>
  </r>
  <r>
    <x v="11"/>
    <d v="2024-01-03T00:00:00"/>
    <d v="2024-01-24T00:00:00"/>
    <x v="10"/>
    <n v="9"/>
    <n v="4"/>
    <n v="1716.58"/>
    <n v="1750.02"/>
    <n v="7000.08"/>
    <n v="6866.32"/>
    <n v="133.76000000000022"/>
    <n v="10.962899036545695"/>
    <n v="144.72289903654593"/>
    <n v="0"/>
    <n v="0"/>
    <n v="0"/>
    <n v="144.72289903654593"/>
  </r>
  <r>
    <x v="0"/>
    <d v="2023-02-03T00:00:00"/>
    <d v="2023-02-24T00:00:00"/>
    <x v="11"/>
    <n v="9"/>
    <n v="113"/>
    <n v="1716.58"/>
    <n v="1750.02"/>
    <n v="197752.26"/>
    <n v="193973.53999999998"/>
    <n v="3778.7200000000303"/>
    <n v="309.70189778241587"/>
    <n v="4088.4218977824462"/>
    <n v="0"/>
    <n v="0"/>
    <n v="0"/>
    <n v="4088.4218977824462"/>
  </r>
  <r>
    <x v="1"/>
    <d v="2023-03-03T00:00:00"/>
    <d v="2023-03-24T00:00:00"/>
    <x v="11"/>
    <n v="9"/>
    <n v="108"/>
    <n v="1716.58"/>
    <n v="1750.02"/>
    <n v="189002.16"/>
    <n v="185390.63999999998"/>
    <n v="3611.5200000000186"/>
    <n v="295.99827398673381"/>
    <n v="3907.5182739867523"/>
    <n v="0"/>
    <n v="0"/>
    <n v="0"/>
    <n v="3907.5182739867523"/>
  </r>
  <r>
    <x v="2"/>
    <d v="2023-04-05T00:00:00"/>
    <d v="2023-04-24T00:00:00"/>
    <x v="11"/>
    <n v="9"/>
    <n v="96"/>
    <n v="1716.58"/>
    <n v="1750.02"/>
    <n v="168001.91999999998"/>
    <n v="164791.67999999999"/>
    <n v="3210.2399999999907"/>
    <n v="263.10957687709669"/>
    <n v="3473.3495768770872"/>
    <n v="0"/>
    <n v="0"/>
    <n v="0"/>
    <n v="3473.3495768770872"/>
  </r>
  <r>
    <x v="3"/>
    <d v="2023-05-03T00:00:00"/>
    <d v="2023-05-24T00:00:00"/>
    <x v="11"/>
    <n v="9"/>
    <n v="91"/>
    <n v="1716.58"/>
    <n v="1750.02"/>
    <n v="159251.82"/>
    <n v="156208.78"/>
    <n v="3043.0400000000081"/>
    <n v="249.40595308141457"/>
    <n v="3292.4459530814229"/>
    <n v="0"/>
    <n v="0"/>
    <n v="0"/>
    <n v="3292.4459530814229"/>
  </r>
  <r>
    <x v="4"/>
    <d v="2023-06-05T00:00:00"/>
    <d v="2023-06-26T00:00:00"/>
    <x v="11"/>
    <n v="9"/>
    <n v="125"/>
    <n v="1716.58"/>
    <n v="1750.02"/>
    <n v="218752.5"/>
    <n v="214572.5"/>
    <n v="4180"/>
    <n v="342.59059489205299"/>
    <n v="4522.5905948920526"/>
    <n v="0"/>
    <n v="0"/>
    <n v="0"/>
    <n v="4522.5905948920526"/>
  </r>
  <r>
    <x v="5"/>
    <d v="2023-07-05T00:00:00"/>
    <d v="2023-07-24T00:00:00"/>
    <x v="11"/>
    <n v="9"/>
    <n v="167"/>
    <n v="1716.58"/>
    <n v="1750.02"/>
    <n v="292253.34000000003"/>
    <n v="286668.86"/>
    <n v="5584.4800000000396"/>
    <n v="457.70103477578277"/>
    <n v="6042.1810347758219"/>
    <n v="0"/>
    <n v="0"/>
    <n v="0"/>
    <n v="6042.1810347758219"/>
  </r>
  <r>
    <x v="6"/>
    <d v="2023-08-03T00:00:00"/>
    <d v="2023-08-24T00:00:00"/>
    <x v="11"/>
    <n v="9"/>
    <n v="160"/>
    <n v="1716.58"/>
    <n v="1750.02"/>
    <n v="280003.20000000001"/>
    <n v="274652.79999999999"/>
    <n v="5350.4000000000233"/>
    <n v="438.51596146182783"/>
    <n v="5788.9159614618511"/>
    <n v="0"/>
    <n v="0"/>
    <n v="0"/>
    <n v="5788.9159614618511"/>
  </r>
  <r>
    <x v="7"/>
    <d v="2023-09-05T00:00:00"/>
    <d v="2023-09-25T00:00:00"/>
    <x v="11"/>
    <n v="9"/>
    <n v="181"/>
    <n v="1716.58"/>
    <n v="1750.02"/>
    <n v="316753.62"/>
    <n v="310700.98"/>
    <n v="6052.640000000014"/>
    <n v="496.07118140369266"/>
    <n v="6548.7111814037071"/>
    <n v="0"/>
    <n v="0"/>
    <n v="0"/>
    <n v="6548.7111814037071"/>
  </r>
  <r>
    <x v="8"/>
    <d v="2023-10-04T00:00:00"/>
    <d v="2023-10-24T00:00:00"/>
    <x v="11"/>
    <n v="9"/>
    <n v="157"/>
    <n v="1716.58"/>
    <n v="1750.02"/>
    <n v="274753.14"/>
    <n v="269503.06"/>
    <n v="5250.0800000000163"/>
    <n v="430.29378718441853"/>
    <n v="5680.3737871844351"/>
    <n v="0"/>
    <n v="0"/>
    <n v="0"/>
    <n v="5680.3737871844351"/>
  </r>
  <r>
    <x v="9"/>
    <d v="2023-11-03T00:00:00"/>
    <d v="2023-11-24T00:00:00"/>
    <x v="11"/>
    <n v="9"/>
    <n v="118"/>
    <n v="1716.58"/>
    <n v="1750.02"/>
    <n v="206502.36"/>
    <n v="202556.44"/>
    <n v="3945.9199999999837"/>
    <n v="323.40552157809799"/>
    <n v="4269.3255215780819"/>
    <n v="0"/>
    <n v="0"/>
    <n v="0"/>
    <n v="4269.3255215780819"/>
  </r>
  <r>
    <x v="10"/>
    <d v="2023-12-06T00:00:00"/>
    <d v="2023-12-25T00:00:00"/>
    <x v="11"/>
    <n v="9"/>
    <n v="102"/>
    <n v="1716.58"/>
    <n v="1750.02"/>
    <n v="178502.04"/>
    <n v="175091.16"/>
    <n v="3410.8800000000047"/>
    <n v="279.55392543191522"/>
    <n v="3690.4339254319198"/>
    <n v="0"/>
    <n v="0"/>
    <n v="0"/>
    <n v="3690.4339254319198"/>
  </r>
  <r>
    <x v="11"/>
    <d v="2024-01-03T00:00:00"/>
    <d v="2024-01-24T00:00:00"/>
    <x v="11"/>
    <n v="9"/>
    <n v="99"/>
    <n v="1716.58"/>
    <n v="1750.02"/>
    <n v="173251.98"/>
    <n v="169941.41999999998"/>
    <n v="3310.5600000000268"/>
    <n v="271.33175115450598"/>
    <n v="3581.8917511545328"/>
    <n v="0"/>
    <n v="0"/>
    <n v="0"/>
    <n v="3581.8917511545328"/>
  </r>
  <r>
    <x v="0"/>
    <d v="2023-02-03T00:00:00"/>
    <d v="2023-02-24T00:00:00"/>
    <x v="12"/>
    <n v="9"/>
    <n v="7"/>
    <n v="1716.58"/>
    <n v="1750.02"/>
    <n v="12250.14"/>
    <n v="12016.06"/>
    <n v="234.07999999999993"/>
    <n v="19.185073313954966"/>
    <n v="253.2650733139549"/>
    <n v="0"/>
    <n v="0"/>
    <n v="0"/>
    <n v="253.2650733139549"/>
  </r>
  <r>
    <x v="1"/>
    <d v="2023-03-03T00:00:00"/>
    <d v="2023-03-24T00:00:00"/>
    <x v="12"/>
    <n v="9"/>
    <n v="10"/>
    <n v="1716.58"/>
    <n v="1750.02"/>
    <n v="17500.2"/>
    <n v="17165.8"/>
    <n v="334.40000000000146"/>
    <n v="27.407247591364239"/>
    <n v="361.80724759136569"/>
    <n v="0"/>
    <n v="0"/>
    <n v="0"/>
    <n v="361.80724759136569"/>
  </r>
  <r>
    <x v="2"/>
    <d v="2023-04-05T00:00:00"/>
    <d v="2023-04-24T00:00:00"/>
    <x v="12"/>
    <n v="9"/>
    <n v="8"/>
    <n v="1716.58"/>
    <n v="1750.02"/>
    <n v="14000.16"/>
    <n v="13732.64"/>
    <n v="267.52000000000044"/>
    <n v="21.925798073091389"/>
    <n v="289.44579807309185"/>
    <n v="0"/>
    <n v="0"/>
    <n v="0"/>
    <n v="289.44579807309185"/>
  </r>
  <r>
    <x v="3"/>
    <d v="2023-05-03T00:00:00"/>
    <d v="2023-05-24T00:00:00"/>
    <x v="12"/>
    <n v="9"/>
    <n v="8"/>
    <n v="1716.58"/>
    <n v="1750.02"/>
    <n v="14000.16"/>
    <n v="13732.64"/>
    <n v="267.52000000000044"/>
    <n v="21.925798073091389"/>
    <n v="289.44579807309185"/>
    <n v="0"/>
    <n v="0"/>
    <n v="0"/>
    <n v="289.44579807309185"/>
  </r>
  <r>
    <x v="4"/>
    <d v="2023-06-05T00:00:00"/>
    <d v="2023-06-26T00:00:00"/>
    <x v="12"/>
    <n v="9"/>
    <n v="10"/>
    <n v="1716.58"/>
    <n v="1750.02"/>
    <n v="17500.2"/>
    <n v="17165.8"/>
    <n v="334.40000000000146"/>
    <n v="27.407247591364239"/>
    <n v="361.80724759136569"/>
    <n v="0"/>
    <n v="0"/>
    <n v="0"/>
    <n v="361.80724759136569"/>
  </r>
  <r>
    <x v="5"/>
    <d v="2023-07-05T00:00:00"/>
    <d v="2023-07-24T00:00:00"/>
    <x v="12"/>
    <n v="9"/>
    <n v="12"/>
    <n v="1716.58"/>
    <n v="1750.02"/>
    <n v="21000.239999999998"/>
    <n v="20598.96"/>
    <n v="401.27999999999884"/>
    <n v="32.888697109637086"/>
    <n v="434.1686971096359"/>
    <n v="0"/>
    <n v="0"/>
    <n v="0"/>
    <n v="434.1686971096359"/>
  </r>
  <r>
    <x v="6"/>
    <d v="2023-08-03T00:00:00"/>
    <d v="2023-08-24T00:00:00"/>
    <x v="12"/>
    <n v="9"/>
    <n v="14"/>
    <n v="1716.58"/>
    <n v="1750.02"/>
    <n v="24500.28"/>
    <n v="24032.12"/>
    <n v="468.15999999999985"/>
    <n v="38.370146627909932"/>
    <n v="506.5301466279098"/>
    <n v="0"/>
    <n v="0"/>
    <n v="0"/>
    <n v="506.5301466279098"/>
  </r>
  <r>
    <x v="7"/>
    <d v="2023-09-05T00:00:00"/>
    <d v="2023-09-25T00:00:00"/>
    <x v="12"/>
    <n v="9"/>
    <n v="13"/>
    <n v="1716.58"/>
    <n v="1750.02"/>
    <n v="22750.26"/>
    <n v="22315.54"/>
    <n v="434.71999999999753"/>
    <n v="35.629421868773505"/>
    <n v="470.34942186877106"/>
    <n v="0"/>
    <n v="0"/>
    <n v="0"/>
    <n v="470.34942186877106"/>
  </r>
  <r>
    <x v="8"/>
    <d v="2023-10-04T00:00:00"/>
    <d v="2023-10-24T00:00:00"/>
    <x v="12"/>
    <n v="9"/>
    <n v="13"/>
    <n v="1716.58"/>
    <n v="1750.02"/>
    <n v="22750.26"/>
    <n v="22315.54"/>
    <n v="434.71999999999753"/>
    <n v="35.629421868773505"/>
    <n v="470.34942186877106"/>
    <n v="0"/>
    <n v="0"/>
    <n v="0"/>
    <n v="470.34942186877106"/>
  </r>
  <r>
    <x v="9"/>
    <d v="2023-11-03T00:00:00"/>
    <d v="2023-11-24T00:00:00"/>
    <x v="12"/>
    <n v="9"/>
    <n v="11"/>
    <n v="1716.58"/>
    <n v="1750.02"/>
    <n v="19250.22"/>
    <n v="18882.379999999997"/>
    <n v="367.84000000000378"/>
    <n v="30.147972350500662"/>
    <n v="397.98797235050444"/>
    <n v="0"/>
    <n v="0"/>
    <n v="0"/>
    <n v="397.98797235050444"/>
  </r>
  <r>
    <x v="10"/>
    <d v="2023-12-06T00:00:00"/>
    <d v="2023-12-25T00:00:00"/>
    <x v="12"/>
    <n v="9"/>
    <n v="7"/>
    <n v="1716.58"/>
    <n v="1750.02"/>
    <n v="12250.14"/>
    <n v="12016.06"/>
    <n v="234.07999999999993"/>
    <n v="19.185073313954966"/>
    <n v="253.2650733139549"/>
    <n v="0"/>
    <n v="0"/>
    <n v="0"/>
    <n v="253.2650733139549"/>
  </r>
  <r>
    <x v="11"/>
    <d v="2024-01-03T00:00:00"/>
    <d v="2024-01-24T00:00:00"/>
    <x v="12"/>
    <n v="9"/>
    <n v="8"/>
    <n v="1716.58"/>
    <n v="1750.02"/>
    <n v="14000.16"/>
    <n v="13732.64"/>
    <n v="267.52000000000044"/>
    <n v="21.925798073091389"/>
    <n v="289.44579807309185"/>
    <n v="0"/>
    <n v="0"/>
    <n v="0"/>
    <n v="289.44579807309185"/>
  </r>
  <r>
    <x v="0"/>
    <d v="2023-02-03T00:00:00"/>
    <d v="2023-02-24T00:00:00"/>
    <x v="13"/>
    <n v="9"/>
    <n v="21"/>
    <n v="1716.58"/>
    <n v="1750.02"/>
    <n v="36750.42"/>
    <n v="36048.18"/>
    <n v="702.23999999999796"/>
    <n v="57.555219941864898"/>
    <n v="759.79521994186291"/>
    <n v="0"/>
    <n v="0"/>
    <n v="0"/>
    <n v="759.79521994186291"/>
  </r>
  <r>
    <x v="1"/>
    <d v="2023-03-03T00:00:00"/>
    <d v="2023-03-24T00:00:00"/>
    <x v="13"/>
    <n v="9"/>
    <n v="21"/>
    <n v="1716.58"/>
    <n v="1750.02"/>
    <n v="36750.42"/>
    <n v="36048.18"/>
    <n v="702.23999999999796"/>
    <n v="57.555219941864898"/>
    <n v="759.79521994186291"/>
    <n v="0"/>
    <n v="0"/>
    <n v="0"/>
    <n v="759.79521994186291"/>
  </r>
  <r>
    <x v="2"/>
    <d v="2023-04-05T00:00:00"/>
    <d v="2023-04-24T00:00:00"/>
    <x v="13"/>
    <n v="9"/>
    <n v="19"/>
    <n v="1716.58"/>
    <n v="1750.02"/>
    <n v="33250.379999999997"/>
    <n v="32615.019999999997"/>
    <n v="635.36000000000058"/>
    <n v="52.073770423592052"/>
    <n v="687.43377042359259"/>
    <n v="0"/>
    <n v="0"/>
    <n v="0"/>
    <n v="687.43377042359259"/>
  </r>
  <r>
    <x v="3"/>
    <d v="2023-05-03T00:00:00"/>
    <d v="2023-05-24T00:00:00"/>
    <x v="13"/>
    <n v="9"/>
    <n v="21"/>
    <n v="1716.58"/>
    <n v="1750.02"/>
    <n v="36750.42"/>
    <n v="36048.18"/>
    <n v="702.23999999999796"/>
    <n v="57.555219941864898"/>
    <n v="759.79521994186291"/>
    <n v="0"/>
    <n v="0"/>
    <n v="0"/>
    <n v="759.79521994186291"/>
  </r>
  <r>
    <x v="4"/>
    <d v="2023-06-05T00:00:00"/>
    <d v="2023-06-26T00:00:00"/>
    <x v="13"/>
    <n v="9"/>
    <n v="28"/>
    <n v="1716.58"/>
    <n v="1750.02"/>
    <n v="49000.56"/>
    <n v="48064.24"/>
    <n v="936.31999999999971"/>
    <n v="76.740293255819864"/>
    <n v="1013.0602932558196"/>
    <n v="0"/>
    <n v="0"/>
    <n v="0"/>
    <n v="1013.0602932558196"/>
  </r>
  <r>
    <x v="5"/>
    <d v="2023-07-05T00:00:00"/>
    <d v="2023-07-24T00:00:00"/>
    <x v="13"/>
    <n v="9"/>
    <n v="37"/>
    <n v="1716.58"/>
    <n v="1750.02"/>
    <n v="64750.74"/>
    <n v="63513.46"/>
    <n v="1237.2799999999988"/>
    <n v="101.40681608804768"/>
    <n v="1338.6868160880465"/>
    <n v="0"/>
    <n v="0"/>
    <n v="0"/>
    <n v="1338.6868160880465"/>
  </r>
  <r>
    <x v="6"/>
    <d v="2023-08-03T00:00:00"/>
    <d v="2023-08-24T00:00:00"/>
    <x v="13"/>
    <n v="9"/>
    <n v="38"/>
    <n v="1716.58"/>
    <n v="1750.02"/>
    <n v="66500.759999999995"/>
    <n v="65230.039999999994"/>
    <n v="1270.7200000000012"/>
    <n v="104.1475408471841"/>
    <n v="1374.8675408471852"/>
    <n v="0"/>
    <n v="0"/>
    <n v="0"/>
    <n v="1374.8675408471852"/>
  </r>
  <r>
    <x v="7"/>
    <d v="2023-09-05T00:00:00"/>
    <d v="2023-09-25T00:00:00"/>
    <x v="13"/>
    <n v="9"/>
    <n v="40"/>
    <n v="1716.58"/>
    <n v="1750.02"/>
    <n v="70000.800000000003"/>
    <n v="68663.199999999997"/>
    <n v="1337.6000000000058"/>
    <n v="109.62899036545696"/>
    <n v="1447.2289903654628"/>
    <n v="0"/>
    <n v="0"/>
    <n v="0"/>
    <n v="1447.2289903654628"/>
  </r>
  <r>
    <x v="8"/>
    <d v="2023-10-04T00:00:00"/>
    <d v="2023-10-24T00:00:00"/>
    <x v="13"/>
    <n v="9"/>
    <n v="37"/>
    <n v="1716.58"/>
    <n v="1750.02"/>
    <n v="64750.74"/>
    <n v="63513.46"/>
    <n v="1237.2799999999988"/>
    <n v="101.40681608804768"/>
    <n v="1338.6868160880465"/>
    <n v="0"/>
    <n v="0"/>
    <n v="0"/>
    <n v="1338.6868160880465"/>
  </r>
  <r>
    <x v="9"/>
    <d v="2023-11-03T00:00:00"/>
    <d v="2023-11-24T00:00:00"/>
    <x v="13"/>
    <n v="9"/>
    <n v="30"/>
    <n v="1716.58"/>
    <n v="1750.02"/>
    <n v="52500.6"/>
    <n v="51497.399999999994"/>
    <n v="1003.2000000000044"/>
    <n v="82.221742774092704"/>
    <n v="1085.4217427740971"/>
    <n v="0"/>
    <n v="0"/>
    <n v="0"/>
    <n v="1085.4217427740971"/>
  </r>
  <r>
    <x v="10"/>
    <d v="2023-12-06T00:00:00"/>
    <d v="2023-12-25T00:00:00"/>
    <x v="13"/>
    <n v="9"/>
    <n v="19"/>
    <n v="1716.58"/>
    <n v="1750.02"/>
    <n v="33250.379999999997"/>
    <n v="32615.019999999997"/>
    <n v="635.36000000000058"/>
    <n v="52.073770423592052"/>
    <n v="687.43377042359259"/>
    <n v="0"/>
    <n v="0"/>
    <n v="0"/>
    <n v="687.43377042359259"/>
  </r>
  <r>
    <x v="11"/>
    <d v="2024-01-03T00:00:00"/>
    <d v="2024-01-24T00:00:00"/>
    <x v="13"/>
    <n v="9"/>
    <n v="20"/>
    <n v="1716.58"/>
    <n v="1750.02"/>
    <n v="35000.400000000001"/>
    <n v="34331.599999999999"/>
    <n v="668.80000000000291"/>
    <n v="54.814495182728479"/>
    <n v="723.61449518273139"/>
    <n v="0"/>
    <n v="0"/>
    <n v="0"/>
    <n v="723.61449518273139"/>
  </r>
  <r>
    <x v="0"/>
    <d v="2023-02-03T00:00:00"/>
    <d v="2023-02-24T00:00:00"/>
    <x v="14"/>
    <n v="9"/>
    <n v="36"/>
    <n v="1716.58"/>
    <n v="1750.02"/>
    <n v="63000.72"/>
    <n v="61796.88"/>
    <n v="1203.8400000000038"/>
    <n v="98.66609132891125"/>
    <n v="1302.5060913289151"/>
    <n v="0"/>
    <n v="0"/>
    <n v="0"/>
    <n v="1302.5060913289151"/>
  </r>
  <r>
    <x v="1"/>
    <d v="2023-03-03T00:00:00"/>
    <d v="2023-03-24T00:00:00"/>
    <x v="14"/>
    <n v="9"/>
    <n v="32"/>
    <n v="1716.58"/>
    <n v="1750.02"/>
    <n v="56000.639999999999"/>
    <n v="54930.559999999998"/>
    <n v="1070.0800000000017"/>
    <n v="87.703192292365557"/>
    <n v="1157.7831922923674"/>
    <n v="0"/>
    <n v="0"/>
    <n v="0"/>
    <n v="1157.7831922923674"/>
  </r>
  <r>
    <x v="2"/>
    <d v="2023-04-05T00:00:00"/>
    <d v="2023-04-24T00:00:00"/>
    <x v="14"/>
    <n v="9"/>
    <n v="32"/>
    <n v="1716.58"/>
    <n v="1750.02"/>
    <n v="56000.639999999999"/>
    <n v="54930.559999999998"/>
    <n v="1070.0800000000017"/>
    <n v="87.703192292365557"/>
    <n v="1157.7831922923674"/>
    <n v="0"/>
    <n v="0"/>
    <n v="0"/>
    <n v="1157.7831922923674"/>
  </r>
  <r>
    <x v="3"/>
    <d v="2023-05-03T00:00:00"/>
    <d v="2023-05-24T00:00:00"/>
    <x v="14"/>
    <n v="9"/>
    <n v="31"/>
    <n v="1716.58"/>
    <n v="1750.02"/>
    <n v="54250.62"/>
    <n v="53213.979999999996"/>
    <n v="1036.6400000000067"/>
    <n v="84.96246753322913"/>
    <n v="1121.6024675332358"/>
    <n v="0"/>
    <n v="0"/>
    <n v="0"/>
    <n v="1121.6024675332358"/>
  </r>
  <r>
    <x v="4"/>
    <d v="2023-06-05T00:00:00"/>
    <d v="2023-06-26T00:00:00"/>
    <x v="14"/>
    <n v="9"/>
    <n v="38"/>
    <n v="1716.58"/>
    <n v="1750.02"/>
    <n v="66500.759999999995"/>
    <n v="65230.039999999994"/>
    <n v="1270.7200000000012"/>
    <n v="104.1475408471841"/>
    <n v="1374.8675408471852"/>
    <n v="0"/>
    <n v="0"/>
    <n v="0"/>
    <n v="1374.8675408471852"/>
  </r>
  <r>
    <x v="5"/>
    <d v="2023-07-05T00:00:00"/>
    <d v="2023-07-24T00:00:00"/>
    <x v="14"/>
    <n v="9"/>
    <n v="48"/>
    <n v="1716.58"/>
    <n v="1750.02"/>
    <n v="84000.959999999992"/>
    <n v="82395.839999999997"/>
    <n v="1605.1199999999953"/>
    <n v="131.55478843854834"/>
    <n v="1736.6747884385436"/>
    <n v="0"/>
    <n v="0"/>
    <n v="0"/>
    <n v="1736.6747884385436"/>
  </r>
  <r>
    <x v="6"/>
    <d v="2023-08-03T00:00:00"/>
    <d v="2023-08-24T00:00:00"/>
    <x v="14"/>
    <n v="9"/>
    <n v="49"/>
    <n v="1716.58"/>
    <n v="1750.02"/>
    <n v="85750.98"/>
    <n v="84112.42"/>
    <n v="1638.5599999999977"/>
    <n v="134.29551319768476"/>
    <n v="1772.8555131976825"/>
    <n v="0"/>
    <n v="0"/>
    <n v="0"/>
    <n v="1772.8555131976825"/>
  </r>
  <r>
    <x v="7"/>
    <d v="2023-09-05T00:00:00"/>
    <d v="2023-09-25T00:00:00"/>
    <x v="14"/>
    <n v="9"/>
    <n v="50"/>
    <n v="1716.58"/>
    <n v="1750.02"/>
    <n v="87501"/>
    <n v="85829"/>
    <n v="1672"/>
    <n v="137.03623795682117"/>
    <n v="1809.0362379568212"/>
    <n v="0"/>
    <n v="0"/>
    <n v="0"/>
    <n v="1809.0362379568212"/>
  </r>
  <r>
    <x v="8"/>
    <d v="2023-10-04T00:00:00"/>
    <d v="2023-10-24T00:00:00"/>
    <x v="14"/>
    <n v="9"/>
    <n v="47"/>
    <n v="1716.58"/>
    <n v="1750.02"/>
    <n v="82250.94"/>
    <n v="80679.259999999995"/>
    <n v="1571.6800000000076"/>
    <n v="128.8140636794119"/>
    <n v="1700.4940636794195"/>
    <n v="0"/>
    <n v="0"/>
    <n v="0"/>
    <n v="1700.4940636794195"/>
  </r>
  <r>
    <x v="9"/>
    <d v="2023-11-03T00:00:00"/>
    <d v="2023-11-24T00:00:00"/>
    <x v="14"/>
    <n v="9"/>
    <n v="36"/>
    <n v="1716.58"/>
    <n v="1750.02"/>
    <n v="63000.72"/>
    <n v="61796.88"/>
    <n v="1203.8400000000038"/>
    <n v="98.66609132891125"/>
    <n v="1302.5060913289151"/>
    <n v="0"/>
    <n v="0"/>
    <n v="0"/>
    <n v="1302.5060913289151"/>
  </r>
  <r>
    <x v="10"/>
    <d v="2023-12-06T00:00:00"/>
    <d v="2023-12-25T00:00:00"/>
    <x v="14"/>
    <n v="9"/>
    <n v="26"/>
    <n v="1716.58"/>
    <n v="1750.02"/>
    <n v="45500.52"/>
    <n v="44631.08"/>
    <n v="869.43999999999505"/>
    <n v="71.258843737547011"/>
    <n v="940.69884373754212"/>
    <n v="0"/>
    <n v="0"/>
    <n v="0"/>
    <n v="940.69884373754212"/>
  </r>
  <r>
    <x v="11"/>
    <d v="2024-01-03T00:00:00"/>
    <d v="2024-01-24T00:00:00"/>
    <x v="14"/>
    <n v="9"/>
    <n v="31"/>
    <n v="1716.58"/>
    <n v="1750.02"/>
    <n v="54250.62"/>
    <n v="53213.979999999996"/>
    <n v="1036.6400000000067"/>
    <n v="84.96246753322913"/>
    <n v="1121.6024675332358"/>
    <n v="0"/>
    <n v="0"/>
    <n v="0"/>
    <n v="1121.6024675332358"/>
  </r>
  <r>
    <x v="0"/>
    <d v="2023-02-03T00:00:00"/>
    <d v="2023-02-24T00:00:00"/>
    <x v="15"/>
    <n v="9"/>
    <n v="104"/>
    <n v="1716.58"/>
    <n v="1750.02"/>
    <n v="182002.08"/>
    <n v="178524.32"/>
    <n v="3477.7599999999802"/>
    <n v="285.03537495018804"/>
    <n v="3762.7953749501685"/>
    <n v="0"/>
    <n v="0"/>
    <n v="0"/>
    <n v="3762.7953749501685"/>
  </r>
  <r>
    <x v="1"/>
    <d v="2023-03-03T00:00:00"/>
    <d v="2023-03-24T00:00:00"/>
    <x v="15"/>
    <n v="9"/>
    <n v="107"/>
    <n v="1716.58"/>
    <n v="1750.02"/>
    <n v="187252.13999999998"/>
    <n v="183674.06"/>
    <n v="3578.0799999999872"/>
    <n v="293.25754922759734"/>
    <n v="3871.3375492275845"/>
    <n v="0"/>
    <n v="0"/>
    <n v="0"/>
    <n v="3871.3375492275845"/>
  </r>
  <r>
    <x v="2"/>
    <d v="2023-04-05T00:00:00"/>
    <d v="2023-04-24T00:00:00"/>
    <x v="15"/>
    <n v="9"/>
    <n v="103"/>
    <n v="1716.58"/>
    <n v="1750.02"/>
    <n v="180252.06"/>
    <n v="176807.74"/>
    <n v="3444.320000000007"/>
    <n v="282.29465019105163"/>
    <n v="3726.6146501910584"/>
    <n v="0"/>
    <n v="0"/>
    <n v="0"/>
    <n v="3726.6146501910584"/>
  </r>
  <r>
    <x v="3"/>
    <d v="2023-05-03T00:00:00"/>
    <d v="2023-05-24T00:00:00"/>
    <x v="15"/>
    <n v="9"/>
    <n v="98"/>
    <n v="1716.58"/>
    <n v="1750.02"/>
    <n v="171501.96"/>
    <n v="168224.84"/>
    <n v="3277.1199999999953"/>
    <n v="268.59102639536951"/>
    <n v="3545.711026395365"/>
    <n v="0"/>
    <n v="0"/>
    <n v="0"/>
    <n v="3545.711026395365"/>
  </r>
  <r>
    <x v="4"/>
    <d v="2023-06-05T00:00:00"/>
    <d v="2023-06-26T00:00:00"/>
    <x v="15"/>
    <n v="9"/>
    <n v="105"/>
    <n v="1716.58"/>
    <n v="1750.02"/>
    <n v="183752.1"/>
    <n v="180240.9"/>
    <n v="3511.2000000000116"/>
    <n v="287.77609970932451"/>
    <n v="3798.9760997093363"/>
    <n v="0"/>
    <n v="0"/>
    <n v="0"/>
    <n v="3798.9760997093363"/>
  </r>
  <r>
    <x v="5"/>
    <d v="2023-07-05T00:00:00"/>
    <d v="2023-07-24T00:00:00"/>
    <x v="15"/>
    <n v="9"/>
    <n v="115"/>
    <n v="1716.58"/>
    <n v="1750.02"/>
    <n v="201252.3"/>
    <n v="197406.69999999998"/>
    <n v="3845.6000000000058"/>
    <n v="315.18334730068869"/>
    <n v="4160.7833473006949"/>
    <n v="0"/>
    <n v="0"/>
    <n v="0"/>
    <n v="4160.7833473006949"/>
  </r>
  <r>
    <x v="6"/>
    <d v="2023-08-03T00:00:00"/>
    <d v="2023-08-24T00:00:00"/>
    <x v="15"/>
    <n v="9"/>
    <n v="110"/>
    <n v="1716.58"/>
    <n v="1750.02"/>
    <n v="192502.2"/>
    <n v="188823.8"/>
    <n v="3678.4000000000233"/>
    <n v="301.47972350500663"/>
    <n v="3979.8797235050297"/>
    <n v="0"/>
    <n v="0"/>
    <n v="0"/>
    <n v="3979.8797235050297"/>
  </r>
  <r>
    <x v="7"/>
    <d v="2023-09-05T00:00:00"/>
    <d v="2023-09-25T00:00:00"/>
    <x v="15"/>
    <n v="9"/>
    <n v="109"/>
    <n v="1716.58"/>
    <n v="1750.02"/>
    <n v="190752.18"/>
    <n v="187107.22"/>
    <n v="3644.9599999999919"/>
    <n v="298.73899874587016"/>
    <n v="3943.6989987458619"/>
    <n v="0"/>
    <n v="0"/>
    <n v="0"/>
    <n v="3943.6989987458619"/>
  </r>
  <r>
    <x v="8"/>
    <d v="2023-10-04T00:00:00"/>
    <d v="2023-10-24T00:00:00"/>
    <x v="15"/>
    <n v="9"/>
    <n v="112"/>
    <n v="1716.58"/>
    <n v="1750.02"/>
    <n v="196002.24"/>
    <n v="192256.96"/>
    <n v="3745.2799999999988"/>
    <n v="306.96117302327946"/>
    <n v="4052.2411730232784"/>
    <n v="0"/>
    <n v="0"/>
    <n v="0"/>
    <n v="4052.2411730232784"/>
  </r>
  <r>
    <x v="9"/>
    <d v="2023-11-03T00:00:00"/>
    <d v="2023-11-24T00:00:00"/>
    <x v="15"/>
    <n v="9"/>
    <n v="107"/>
    <n v="1716.58"/>
    <n v="1750.02"/>
    <n v="187252.13999999998"/>
    <n v="183674.06"/>
    <n v="3578.0799999999872"/>
    <n v="293.25754922759734"/>
    <n v="3871.3375492275845"/>
    <n v="0"/>
    <n v="0"/>
    <n v="0"/>
    <n v="3871.3375492275845"/>
  </r>
  <r>
    <x v="10"/>
    <d v="2023-12-06T00:00:00"/>
    <d v="2023-12-25T00:00:00"/>
    <x v="15"/>
    <n v="9"/>
    <n v="104"/>
    <n v="1716.58"/>
    <n v="1750.02"/>
    <n v="182002.08"/>
    <n v="178524.32"/>
    <n v="3477.7599999999802"/>
    <n v="285.03537495018804"/>
    <n v="3762.7953749501685"/>
    <n v="0"/>
    <n v="0"/>
    <n v="0"/>
    <n v="3762.7953749501685"/>
  </r>
  <r>
    <x v="11"/>
    <d v="2024-01-03T00:00:00"/>
    <d v="2024-01-24T00:00:00"/>
    <x v="15"/>
    <n v="9"/>
    <n v="101"/>
    <n v="1716.58"/>
    <n v="1750.02"/>
    <n v="176752.02"/>
    <n v="173374.58"/>
    <n v="3377.4400000000023"/>
    <n v="276.81320067277881"/>
    <n v="3654.2532006727811"/>
    <n v="0"/>
    <n v="0"/>
    <n v="0"/>
    <n v="3654.25320067278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32" dataOnRows="1" applyNumberFormats="0" applyBorderFormats="0" applyFontFormats="0" applyPatternFormats="0" applyAlignmentFormats="0" applyWidthHeightFormats="1" dataCaption="Data" updatedVersion="8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69">
        <item m="1" x="69"/>
        <item m="1" x="93"/>
        <item m="1" x="117"/>
        <item m="1" x="141"/>
        <item m="1" x="165"/>
        <item m="1" x="45"/>
        <item m="1" x="80"/>
        <item m="1" x="104"/>
        <item m="1" x="128"/>
        <item m="1" x="152"/>
        <item m="1" x="32"/>
        <item m="1" x="56"/>
        <item m="1" x="70"/>
        <item m="1" x="94"/>
        <item m="1" x="118"/>
        <item m="1" x="142"/>
        <item m="1" x="166"/>
        <item m="1" x="46"/>
        <item m="1" x="82"/>
        <item m="1" x="106"/>
        <item m="1" x="130"/>
        <item m="1" x="154"/>
        <item m="1" x="34"/>
        <item m="1" x="58"/>
        <item m="1" x="71"/>
        <item m="1" x="95"/>
        <item m="1" x="119"/>
        <item m="1" x="143"/>
        <item m="1" x="167"/>
        <item m="1" x="47"/>
        <item m="1" x="83"/>
        <item m="1" x="107"/>
        <item m="1" x="131"/>
        <item m="1" x="155"/>
        <item m="1" x="35"/>
        <item m="1" x="59"/>
        <item m="1" x="72"/>
        <item m="1" x="96"/>
        <item m="1" x="120"/>
        <item m="1" x="144"/>
        <item m="1" x="24"/>
        <item m="1" x="48"/>
        <item m="1" x="84"/>
        <item m="1" x="108"/>
        <item m="1" x="132"/>
        <item m="1" x="156"/>
        <item m="1" x="36"/>
        <item m="1" x="60"/>
        <item m="1" x="73"/>
        <item m="1" x="97"/>
        <item m="1" x="121"/>
        <item m="1" x="145"/>
        <item m="1" x="25"/>
        <item m="1" x="49"/>
        <item m="1" x="85"/>
        <item m="1" x="109"/>
        <item m="1" x="133"/>
        <item m="1" x="157"/>
        <item m="1" x="37"/>
        <item m="1" x="61"/>
        <item m="1" x="74"/>
        <item m="1" x="98"/>
        <item m="1" x="122"/>
        <item m="1" x="146"/>
        <item m="1" x="26"/>
        <item m="1" x="50"/>
        <item m="1" x="86"/>
        <item m="1" x="110"/>
        <item m="1" x="134"/>
        <item m="1" x="158"/>
        <item m="1" x="38"/>
        <item m="1" x="62"/>
        <item m="1" x="75"/>
        <item m="1" x="99"/>
        <item m="1" x="123"/>
        <item m="1" x="147"/>
        <item m="1" x="27"/>
        <item m="1" x="51"/>
        <item m="1" x="87"/>
        <item m="1" x="111"/>
        <item m="1" x="135"/>
        <item m="1" x="159"/>
        <item m="1" x="39"/>
        <item m="1" x="63"/>
        <item m="1" x="76"/>
        <item m="1" x="100"/>
        <item m="1" x="124"/>
        <item m="1" x="148"/>
        <item m="1" x="28"/>
        <item m="1" x="52"/>
        <item m="1" x="88"/>
        <item m="1" x="112"/>
        <item m="1" x="136"/>
        <item m="1" x="160"/>
        <item m="1" x="40"/>
        <item m="1" x="64"/>
        <item m="1" x="77"/>
        <item m="1" x="101"/>
        <item m="1" x="125"/>
        <item m="1" x="149"/>
        <item m="1" x="29"/>
        <item m="1" x="53"/>
        <item m="1" x="89"/>
        <item m="1" x="113"/>
        <item m="1" x="137"/>
        <item m="1" x="161"/>
        <item m="1" x="41"/>
        <item m="1" x="65"/>
        <item m="1" x="78"/>
        <item m="1" x="102"/>
        <item m="1" x="126"/>
        <item m="1" x="150"/>
        <item m="1" x="30"/>
        <item m="1" x="54"/>
        <item m="1" x="90"/>
        <item m="1" x="114"/>
        <item m="1" x="138"/>
        <item m="1" x="162"/>
        <item m="1" x="42"/>
        <item m="1" x="66"/>
        <item m="1" x="79"/>
        <item m="1" x="103"/>
        <item m="1" x="127"/>
        <item m="1" x="151"/>
        <item m="1" x="31"/>
        <item m="1" x="55"/>
        <item m="1" x="91"/>
        <item m="1" x="115"/>
        <item m="1" x="139"/>
        <item m="1" x="163"/>
        <item m="1" x="43"/>
        <item m="1" x="67"/>
        <item m="1" x="81"/>
        <item m="1" x="105"/>
        <item m="1" x="129"/>
        <item m="1" x="153"/>
        <item m="1" x="33"/>
        <item m="1" x="57"/>
        <item m="1" x="92"/>
        <item m="1" x="116"/>
        <item m="1" x="140"/>
        <item m="1" x="164"/>
        <item m="1" x="44"/>
        <item m="1" x="68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activeCell="B3" sqref="B3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63</v>
      </c>
    </row>
    <row r="3" spans="1:2" x14ac:dyDescent="0.25">
      <c r="A3" s="2">
        <v>1</v>
      </c>
      <c r="B3" s="3" t="s">
        <v>65</v>
      </c>
    </row>
    <row r="4" spans="1:2" ht="13" x14ac:dyDescent="0.3">
      <c r="A4" s="2">
        <v>2</v>
      </c>
      <c r="B4" s="3" t="s">
        <v>64</v>
      </c>
    </row>
    <row r="5" spans="1:2" ht="13" x14ac:dyDescent="0.3">
      <c r="A5" s="2">
        <v>3</v>
      </c>
      <c r="B5" s="3" t="s">
        <v>66</v>
      </c>
    </row>
    <row r="6" spans="1:2" ht="13" x14ac:dyDescent="0.3">
      <c r="A6" s="2">
        <v>4</v>
      </c>
      <c r="B6" s="4" t="s">
        <v>80</v>
      </c>
    </row>
    <row r="7" spans="1:2" x14ac:dyDescent="0.25">
      <c r="A7" s="2">
        <v>5</v>
      </c>
      <c r="B7" s="3" t="s">
        <v>67</v>
      </c>
    </row>
    <row r="8" spans="1:2" x14ac:dyDescent="0.25">
      <c r="A8" s="2">
        <v>6</v>
      </c>
      <c r="B8" s="3" t="s">
        <v>68</v>
      </c>
    </row>
    <row r="9" spans="1:2" x14ac:dyDescent="0.25">
      <c r="A9" s="2">
        <v>7</v>
      </c>
      <c r="B9" s="5" t="s">
        <v>69</v>
      </c>
    </row>
    <row r="10" spans="1:2" ht="13" x14ac:dyDescent="0.3">
      <c r="A10" s="2">
        <v>8</v>
      </c>
      <c r="B10" s="3" t="s">
        <v>72</v>
      </c>
    </row>
    <row r="11" spans="1:2" x14ac:dyDescent="0.25">
      <c r="A11" s="2"/>
      <c r="B11" s="3" t="s">
        <v>73</v>
      </c>
    </row>
    <row r="12" spans="1:2" x14ac:dyDescent="0.25">
      <c r="A12" s="2"/>
      <c r="B12" s="5" t="s">
        <v>74</v>
      </c>
    </row>
    <row r="13" spans="1:2" x14ac:dyDescent="0.25">
      <c r="A13" s="2"/>
      <c r="B13" s="5" t="s">
        <v>75</v>
      </c>
    </row>
    <row r="14" spans="1:2" x14ac:dyDescent="0.25">
      <c r="A14" s="2">
        <v>9</v>
      </c>
      <c r="B14" s="3" t="s">
        <v>76</v>
      </c>
    </row>
    <row r="15" spans="1:2" x14ac:dyDescent="0.25">
      <c r="A15" s="2">
        <v>10</v>
      </c>
      <c r="B15" s="3" t="s">
        <v>78</v>
      </c>
    </row>
    <row r="16" spans="1:2" x14ac:dyDescent="0.25">
      <c r="A16" s="2">
        <v>11</v>
      </c>
      <c r="B16" s="3" t="s">
        <v>79</v>
      </c>
    </row>
    <row r="17" spans="1:1" x14ac:dyDescent="0.25">
      <c r="A17" s="2"/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EE493-280F-49E1-85C2-A7EDDF8394C1}">
  <dimension ref="A1:E22"/>
  <sheetViews>
    <sheetView tabSelected="1" workbookViewId="0">
      <selection activeCell="A2" sqref="A2"/>
    </sheetView>
  </sheetViews>
  <sheetFormatPr defaultRowHeight="12.5" x14ac:dyDescent="0.25"/>
  <cols>
    <col min="1" max="1" width="41.08984375" style="230" customWidth="1"/>
    <col min="2" max="2" width="13.08984375" style="230" customWidth="1"/>
    <col min="3" max="3" width="14.1796875" style="230" bestFit="1" customWidth="1"/>
    <col min="4" max="4" width="12.7265625" style="230" bestFit="1" customWidth="1"/>
    <col min="5" max="5" width="10.54296875" style="230" bestFit="1" customWidth="1"/>
    <col min="6" max="16384" width="8.7265625" style="230"/>
  </cols>
  <sheetData>
    <row r="1" spans="1:5" x14ac:dyDescent="0.25">
      <c r="C1" s="230" t="s">
        <v>21</v>
      </c>
      <c r="D1" s="230" t="s">
        <v>22</v>
      </c>
      <c r="E1" s="230" t="s">
        <v>99</v>
      </c>
    </row>
    <row r="2" spans="1:5" ht="25" x14ac:dyDescent="0.25">
      <c r="A2" s="230" t="s">
        <v>100</v>
      </c>
      <c r="B2" s="248" t="s">
        <v>101</v>
      </c>
      <c r="C2" s="231">
        <v>4502576.1226782044</v>
      </c>
      <c r="D2" s="231">
        <v>6855834.0921565611</v>
      </c>
      <c r="E2" s="232">
        <f>C2+D2</f>
        <v>11358410.214834765</v>
      </c>
    </row>
    <row r="3" spans="1:5" ht="13" thickBot="1" x14ac:dyDescent="0.3"/>
    <row r="4" spans="1:5" x14ac:dyDescent="0.25">
      <c r="A4" s="233" t="s">
        <v>14</v>
      </c>
      <c r="B4" s="234">
        <f>0.074+0.018</f>
        <v>9.1999999999999998E-2</v>
      </c>
      <c r="C4" s="232">
        <f>$C$2*B4</f>
        <v>414237.00328639481</v>
      </c>
      <c r="D4" s="232">
        <f>$D$2*B4</f>
        <v>630736.73647840356</v>
      </c>
      <c r="E4" s="232">
        <f t="shared" ref="E4:E20" si="0">C4+D4</f>
        <v>1044973.7397647984</v>
      </c>
    </row>
    <row r="5" spans="1:5" x14ac:dyDescent="0.25">
      <c r="A5" s="235" t="s">
        <v>83</v>
      </c>
      <c r="B5" s="236">
        <v>5.0000000000000001E-3</v>
      </c>
      <c r="C5" s="232">
        <f t="shared" ref="C5:C16" si="1">$C$2*B5</f>
        <v>22512.880613391022</v>
      </c>
      <c r="D5" s="232">
        <f t="shared" ref="D5:D16" si="2">$D$2*B5</f>
        <v>34279.170460782807</v>
      </c>
      <c r="E5" s="232">
        <f t="shared" si="0"/>
        <v>56792.051074173825</v>
      </c>
    </row>
    <row r="6" spans="1:5" x14ac:dyDescent="0.25">
      <c r="A6" s="235" t="s">
        <v>54</v>
      </c>
      <c r="B6" s="236">
        <v>1.4999999999999999E-2</v>
      </c>
      <c r="C6" s="232">
        <f t="shared" si="1"/>
        <v>67538.641840173063</v>
      </c>
      <c r="D6" s="232">
        <f t="shared" si="2"/>
        <v>102837.51138234841</v>
      </c>
      <c r="E6" s="232">
        <f t="shared" si="0"/>
        <v>170376.15322252148</v>
      </c>
    </row>
    <row r="7" spans="1:5" x14ac:dyDescent="0.25">
      <c r="A7" s="237" t="s">
        <v>17</v>
      </c>
      <c r="B7" s="234">
        <v>1.2999999999999999E-2</v>
      </c>
      <c r="C7" s="232">
        <f t="shared" si="1"/>
        <v>58533.489594816652</v>
      </c>
      <c r="D7" s="232">
        <f t="shared" si="2"/>
        <v>89125.843198035291</v>
      </c>
      <c r="E7" s="232">
        <f t="shared" si="0"/>
        <v>147659.33279285196</v>
      </c>
    </row>
    <row r="8" spans="1:5" x14ac:dyDescent="0.25">
      <c r="A8" s="235" t="s">
        <v>13</v>
      </c>
      <c r="B8" s="236">
        <v>0.10199999999999999</v>
      </c>
      <c r="C8" s="232">
        <f t="shared" si="1"/>
        <v>459262.76451317681</v>
      </c>
      <c r="D8" s="232">
        <f t="shared" si="2"/>
        <v>699295.07739996922</v>
      </c>
      <c r="E8" s="232">
        <f t="shared" si="0"/>
        <v>1158557.841913146</v>
      </c>
    </row>
    <row r="9" spans="1:5" x14ac:dyDescent="0.25">
      <c r="A9" s="237" t="s">
        <v>15</v>
      </c>
      <c r="B9" s="234">
        <v>1E-3</v>
      </c>
      <c r="C9" s="232">
        <f t="shared" si="1"/>
        <v>4502.5761226782042</v>
      </c>
      <c r="D9" s="232">
        <f t="shared" si="2"/>
        <v>6855.8340921565614</v>
      </c>
      <c r="E9" s="232">
        <f t="shared" si="0"/>
        <v>11358.410214834767</v>
      </c>
    </row>
    <row r="10" spans="1:5" x14ac:dyDescent="0.25">
      <c r="A10" s="237" t="s">
        <v>57</v>
      </c>
      <c r="B10" s="234">
        <v>5.0000000000000001E-3</v>
      </c>
      <c r="C10" s="232">
        <f t="shared" si="1"/>
        <v>22512.880613391022</v>
      </c>
      <c r="D10" s="232">
        <f t="shared" si="2"/>
        <v>34279.170460782807</v>
      </c>
      <c r="E10" s="232">
        <f t="shared" si="0"/>
        <v>56792.051074173825</v>
      </c>
    </row>
    <row r="11" spans="1:5" x14ac:dyDescent="0.25">
      <c r="A11" s="237" t="s">
        <v>16</v>
      </c>
      <c r="B11" s="234">
        <v>0</v>
      </c>
      <c r="C11" s="232">
        <f t="shared" si="1"/>
        <v>0</v>
      </c>
      <c r="D11" s="232">
        <f t="shared" si="2"/>
        <v>0</v>
      </c>
      <c r="E11" s="232">
        <f t="shared" si="0"/>
        <v>0</v>
      </c>
    </row>
    <row r="12" spans="1:5" x14ac:dyDescent="0.25">
      <c r="A12" s="235" t="s">
        <v>56</v>
      </c>
      <c r="B12" s="236">
        <v>3.0000000000000001E-3</v>
      </c>
      <c r="C12" s="232">
        <f t="shared" si="1"/>
        <v>13507.728368034614</v>
      </c>
      <c r="D12" s="232">
        <f t="shared" si="2"/>
        <v>20567.502276469684</v>
      </c>
      <c r="E12" s="232">
        <f t="shared" si="0"/>
        <v>34075.2306445043</v>
      </c>
    </row>
    <row r="13" spans="1:5" x14ac:dyDescent="0.25">
      <c r="A13" s="235" t="s">
        <v>19</v>
      </c>
      <c r="B13" s="236">
        <f>0.003+0.002</f>
        <v>5.0000000000000001E-3</v>
      </c>
      <c r="C13" s="232">
        <f t="shared" si="1"/>
        <v>22512.880613391022</v>
      </c>
      <c r="D13" s="232">
        <f t="shared" si="2"/>
        <v>34279.170460782807</v>
      </c>
      <c r="E13" s="232">
        <f t="shared" si="0"/>
        <v>56792.051074173825</v>
      </c>
    </row>
    <row r="14" spans="1:5" x14ac:dyDescent="0.25">
      <c r="A14" s="237" t="s">
        <v>8</v>
      </c>
      <c r="B14" s="234">
        <v>1.2999999999999999E-2</v>
      </c>
      <c r="C14" s="232">
        <f t="shared" si="1"/>
        <v>58533.489594816652</v>
      </c>
      <c r="D14" s="232">
        <f t="shared" si="2"/>
        <v>89125.843198035291</v>
      </c>
      <c r="E14" s="232">
        <f t="shared" si="0"/>
        <v>147659.33279285196</v>
      </c>
    </row>
    <row r="15" spans="1:5" x14ac:dyDescent="0.25">
      <c r="A15" s="237" t="s">
        <v>55</v>
      </c>
      <c r="B15" s="234">
        <v>1E-3</v>
      </c>
      <c r="C15" s="232">
        <f t="shared" si="1"/>
        <v>4502.5761226782042</v>
      </c>
      <c r="D15" s="232">
        <f t="shared" si="2"/>
        <v>6855.8340921565614</v>
      </c>
      <c r="E15" s="232">
        <f t="shared" si="0"/>
        <v>11358.410214834767</v>
      </c>
    </row>
    <row r="16" spans="1:5" x14ac:dyDescent="0.25">
      <c r="A16" s="238" t="s">
        <v>9</v>
      </c>
      <c r="B16" s="234">
        <v>5.0000000000000001E-3</v>
      </c>
      <c r="C16" s="232">
        <f t="shared" si="1"/>
        <v>22512.880613391022</v>
      </c>
      <c r="D16" s="232">
        <f t="shared" si="2"/>
        <v>34279.170460782807</v>
      </c>
      <c r="E16" s="232">
        <f t="shared" si="0"/>
        <v>56792.051074173825</v>
      </c>
    </row>
    <row r="17" spans="1:5" ht="23" x14ac:dyDescent="0.25">
      <c r="A17" s="239" t="s">
        <v>43</v>
      </c>
      <c r="B17" s="240"/>
      <c r="C17" s="241">
        <f>SUM(C4:C16)</f>
        <v>1170669.791896333</v>
      </c>
      <c r="D17" s="241">
        <f>SUM(D4:D16)</f>
        <v>1782516.8639607055</v>
      </c>
      <c r="E17" s="241">
        <f>SUM(E4:E16)</f>
        <v>2953186.6558570387</v>
      </c>
    </row>
    <row r="18" spans="1:5" x14ac:dyDescent="0.25">
      <c r="A18" s="242" t="s">
        <v>21</v>
      </c>
      <c r="B18" s="236">
        <v>0.37</v>
      </c>
      <c r="C18" s="232">
        <f>$C$2*B18</f>
        <v>1665953.1653909357</v>
      </c>
      <c r="D18" s="232">
        <f>$D$2*B18</f>
        <v>2536658.6140979277</v>
      </c>
      <c r="E18" s="232">
        <f t="shared" si="0"/>
        <v>4202611.7794888634</v>
      </c>
    </row>
    <row r="19" spans="1:5" x14ac:dyDescent="0.25">
      <c r="A19" s="237" t="s">
        <v>22</v>
      </c>
      <c r="B19" s="234">
        <v>0.35399999999999998</v>
      </c>
      <c r="C19" s="232">
        <f t="shared" ref="C19:C20" si="3">$C$2*B19</f>
        <v>1593911.9474280842</v>
      </c>
      <c r="D19" s="232">
        <f t="shared" ref="D19:D20" si="4">$D$2*B19</f>
        <v>2426965.2686234224</v>
      </c>
      <c r="E19" s="232">
        <f t="shared" si="0"/>
        <v>4020877.2160515068</v>
      </c>
    </row>
    <row r="20" spans="1:5" x14ac:dyDescent="0.25">
      <c r="A20" s="238" t="s">
        <v>81</v>
      </c>
      <c r="B20" s="234">
        <v>1.6E-2</v>
      </c>
      <c r="C20" s="232">
        <f t="shared" si="3"/>
        <v>72041.217962851268</v>
      </c>
      <c r="D20" s="232">
        <f t="shared" si="4"/>
        <v>109693.34547450498</v>
      </c>
      <c r="E20" s="232">
        <f t="shared" si="0"/>
        <v>181734.56343735626</v>
      </c>
    </row>
    <row r="21" spans="1:5" ht="23" x14ac:dyDescent="0.25">
      <c r="A21" s="239" t="s">
        <v>51</v>
      </c>
      <c r="B21" s="243"/>
      <c r="C21" s="244">
        <f>SUM(C18:C20)</f>
        <v>3331906.330781871</v>
      </c>
      <c r="D21" s="244">
        <f>SUM(D18:D20)</f>
        <v>5073317.2281958545</v>
      </c>
      <c r="E21" s="244">
        <f>SUM(E18:E20)</f>
        <v>8405223.5589777268</v>
      </c>
    </row>
    <row r="22" spans="1:5" ht="13" thickBot="1" x14ac:dyDescent="0.3">
      <c r="A22" s="245" t="s">
        <v>44</v>
      </c>
      <c r="B22" s="246"/>
      <c r="C22" s="232">
        <f>C17+C21</f>
        <v>4502576.1226782035</v>
      </c>
      <c r="D22" s="232">
        <f>D17+D21</f>
        <v>6855834.0921565602</v>
      </c>
      <c r="E22" s="232">
        <f>E17+E21</f>
        <v>11358410.214834765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2"/>
  <sheetViews>
    <sheetView zoomScale="85" zoomScaleNormal="85" zoomScaleSheetLayoutView="100" workbookViewId="0">
      <selection activeCell="B3" sqref="B3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4" width="14" style="1" customWidth="1"/>
    <col min="15" max="15" width="15" style="1" customWidth="1"/>
    <col min="16" max="108" width="31.7265625" style="1" customWidth="1"/>
    <col min="109" max="109" width="11.453125" style="1" customWidth="1"/>
    <col min="110" max="16384" width="33.26953125" style="1"/>
  </cols>
  <sheetData>
    <row r="1" spans="2:17" ht="13" x14ac:dyDescent="0.3">
      <c r="C1" s="256" t="str">
        <f>+Transactions!B1</f>
        <v>AEPTCo Formula Rate -- FERC Docket ER18-195</v>
      </c>
      <c r="D1" s="256"/>
      <c r="E1" s="256"/>
      <c r="F1" s="256"/>
      <c r="G1" s="256"/>
      <c r="H1" s="256"/>
      <c r="I1" s="256"/>
      <c r="J1" s="6">
        <v>2023</v>
      </c>
    </row>
    <row r="2" spans="2:17" ht="13" x14ac:dyDescent="0.3">
      <c r="C2" s="256" t="s">
        <v>36</v>
      </c>
      <c r="D2" s="256"/>
      <c r="E2" s="256"/>
      <c r="F2" s="256"/>
      <c r="G2" s="256"/>
      <c r="H2" s="256"/>
      <c r="I2" s="256"/>
    </row>
    <row r="3" spans="2:17" ht="13" x14ac:dyDescent="0.3">
      <c r="C3" s="256" t="str">
        <f>"for period 01/01/"&amp;F8&amp;" - 12/31/"&amp;F8</f>
        <v>for period 01/01/2023 - 12/31/2023</v>
      </c>
      <c r="D3" s="256"/>
      <c r="E3" s="256"/>
      <c r="F3" s="256"/>
      <c r="G3" s="256"/>
      <c r="H3" s="256"/>
      <c r="I3" s="256"/>
    </row>
    <row r="4" spans="2:17" ht="13" x14ac:dyDescent="0.3">
      <c r="C4" s="256" t="s">
        <v>94</v>
      </c>
      <c r="D4" s="256"/>
      <c r="E4" s="256"/>
      <c r="F4" s="256"/>
      <c r="G4" s="256"/>
      <c r="H4" s="256"/>
      <c r="I4" s="256"/>
    </row>
    <row r="5" spans="2:17" x14ac:dyDescent="0.25">
      <c r="C5" s="7" t="str">
        <f>"Prepared:  May 24_, "&amp;J1+1&amp;""</f>
        <v>Prepared:  May 24_, 2024</v>
      </c>
      <c r="D5" s="8"/>
    </row>
    <row r="6" spans="2:17" x14ac:dyDescent="0.25">
      <c r="C6" s="9"/>
    </row>
    <row r="7" spans="2:17" ht="13" x14ac:dyDescent="0.3">
      <c r="C7" s="10"/>
    </row>
    <row r="8" spans="2:17" ht="27.75" customHeight="1" thickBot="1" x14ac:dyDescent="0.3">
      <c r="F8" s="11">
        <v>2023</v>
      </c>
    </row>
    <row r="9" spans="2:17" ht="20.25" customHeight="1" x14ac:dyDescent="0.3">
      <c r="E9" s="12" t="s">
        <v>93</v>
      </c>
      <c r="F9" s="13"/>
      <c r="G9" s="14"/>
      <c r="H9" s="15"/>
      <c r="J9" s="2"/>
    </row>
    <row r="10" spans="2:17" ht="42" customHeight="1" thickBot="1" x14ac:dyDescent="0.3">
      <c r="B10" s="16"/>
      <c r="E10" s="17" t="str">
        <f>"(per "&amp;$F8&amp;" Projections "&amp;$F8&amp;")"</f>
        <v>(per 2023 Projections 2023)</v>
      </c>
      <c r="F10" s="18" t="str">
        <f>"(per "&amp;F8&amp;" Update of May "&amp;F8+1&amp;")"</f>
        <v>(per 2023 Update of May 2024)</v>
      </c>
      <c r="G10" s="19"/>
      <c r="H10" s="20"/>
    </row>
    <row r="11" spans="2:17" ht="21.75" customHeight="1" x14ac:dyDescent="0.25">
      <c r="B11" s="21"/>
      <c r="C11" s="22" t="s">
        <v>39</v>
      </c>
      <c r="D11" s="23" t="s">
        <v>37</v>
      </c>
      <c r="E11" s="24">
        <f>Transactions!K2</f>
        <v>187843797.02208984</v>
      </c>
      <c r="F11" s="25"/>
      <c r="G11" s="26"/>
      <c r="H11" s="27"/>
    </row>
    <row r="12" spans="2:17" ht="21.75" customHeight="1" x14ac:dyDescent="0.25">
      <c r="B12" s="21"/>
      <c r="C12" s="28"/>
      <c r="D12" s="29" t="s">
        <v>42</v>
      </c>
      <c r="E12" s="30"/>
      <c r="F12" s="31">
        <f>+Transactions!J2</f>
        <v>178813409.50124812</v>
      </c>
      <c r="G12" s="32"/>
      <c r="H12" s="33"/>
    </row>
    <row r="13" spans="2:17" ht="21.75" customHeight="1" x14ac:dyDescent="0.25">
      <c r="B13" s="34"/>
      <c r="C13" s="35" t="s">
        <v>40</v>
      </c>
      <c r="D13" s="36" t="s">
        <v>38</v>
      </c>
      <c r="E13" s="37">
        <f>Transactions!K3</f>
        <v>1716.58</v>
      </c>
      <c r="F13" s="33"/>
      <c r="G13" s="38"/>
      <c r="H13" s="39"/>
    </row>
    <row r="14" spans="2:17" ht="21.75" customHeight="1" thickBot="1" x14ac:dyDescent="0.3">
      <c r="B14" s="16"/>
      <c r="C14" s="40"/>
      <c r="D14" s="41" t="s">
        <v>41</v>
      </c>
      <c r="E14" s="42"/>
      <c r="F14" s="43">
        <f>+Transactions!J3</f>
        <v>1750.02</v>
      </c>
      <c r="G14" s="44"/>
      <c r="H14" s="33"/>
    </row>
    <row r="15" spans="2:17" x14ac:dyDescent="0.25">
      <c r="B15" s="21"/>
      <c r="E15" s="45"/>
    </row>
    <row r="16" spans="2:17" ht="13" x14ac:dyDescent="0.3">
      <c r="B16" s="34"/>
      <c r="C16" s="34"/>
      <c r="D16" s="46"/>
      <c r="E16" s="34"/>
      <c r="F16" s="47"/>
      <c r="G16" s="48"/>
      <c r="H16" s="48"/>
      <c r="J16" s="45"/>
      <c r="L16" s="50"/>
      <c r="M16" s="51"/>
      <c r="N16" s="51"/>
      <c r="O16" s="51"/>
      <c r="P16" s="51"/>
      <c r="Q16" s="51"/>
    </row>
    <row r="17" spans="2:17" ht="13" x14ac:dyDescent="0.3">
      <c r="C17" s="10"/>
      <c r="L17" s="52"/>
      <c r="M17" s="51"/>
      <c r="N17" s="51"/>
      <c r="O17" s="51"/>
      <c r="P17" s="51"/>
      <c r="Q17" s="51"/>
    </row>
    <row r="18" spans="2:17" x14ac:dyDescent="0.25">
      <c r="C18" s="50"/>
      <c r="D18" s="50"/>
      <c r="E18" s="50"/>
      <c r="F18" s="50"/>
      <c r="G18" s="50"/>
      <c r="H18" s="50"/>
      <c r="I18" s="50"/>
      <c r="L18" s="50"/>
      <c r="M18" s="51"/>
      <c r="N18" s="51"/>
      <c r="O18" s="51"/>
      <c r="P18" s="51"/>
      <c r="Q18" s="51"/>
    </row>
    <row r="19" spans="2:17" ht="21" customHeight="1" thickBot="1" x14ac:dyDescent="0.3">
      <c r="C19" s="53" t="s">
        <v>31</v>
      </c>
      <c r="D19" s="53" t="s">
        <v>32</v>
      </c>
      <c r="E19" s="54" t="s">
        <v>33</v>
      </c>
      <c r="F19" s="54" t="s">
        <v>34</v>
      </c>
      <c r="G19" s="53" t="s">
        <v>35</v>
      </c>
      <c r="H19" s="53" t="s">
        <v>92</v>
      </c>
      <c r="I19" s="54" t="s">
        <v>91</v>
      </c>
      <c r="L19" s="50"/>
      <c r="M19" s="51"/>
      <c r="N19" s="51"/>
      <c r="O19" s="51"/>
      <c r="P19" s="51"/>
      <c r="Q19" s="51"/>
    </row>
    <row r="20" spans="2:17" ht="53.25" customHeight="1" x14ac:dyDescent="0.25">
      <c r="C20" s="55" t="s">
        <v>50</v>
      </c>
      <c r="D20" s="56" t="str">
        <f>"Actual Charge
("&amp;F8&amp;" True-Up)"</f>
        <v>Actual Charge
(2023 True-Up)</v>
      </c>
      <c r="E20" s="57" t="str">
        <f>"Invoiced for
CY"&amp;F8&amp;" Transmission Service"</f>
        <v>Invoiced for
CY2023 Transmission Service</v>
      </c>
      <c r="F20" s="56" t="s">
        <v>96</v>
      </c>
      <c r="G20" s="58" t="s">
        <v>97</v>
      </c>
      <c r="H20" s="247" t="s">
        <v>102</v>
      </c>
      <c r="I20" s="56" t="s">
        <v>98</v>
      </c>
      <c r="L20" s="50"/>
      <c r="M20" s="51"/>
      <c r="N20" s="51"/>
      <c r="O20" s="51"/>
      <c r="P20" s="51"/>
      <c r="Q20" s="51"/>
    </row>
    <row r="21" spans="2:17" x14ac:dyDescent="0.25">
      <c r="B21" s="59"/>
      <c r="C21" s="60" t="s">
        <v>14</v>
      </c>
      <c r="D21" s="61">
        <f>GETPIVOTDATA("Sum of "&amp;T(Transactions!$J$19),Pivot!$A$3,"Customer",C21)</f>
        <v>16721441.100000001</v>
      </c>
      <c r="E21" s="61">
        <f>GETPIVOTDATA("Sum of "&amp;T(Transactions!$K$19),Pivot!$A$3,"Customer",C21)</f>
        <v>16401921.899999999</v>
      </c>
      <c r="F21" s="61">
        <f>D21-E21</f>
        <v>319519.20000000298</v>
      </c>
      <c r="G21" s="51">
        <f>(+GETPIVOTDATA("Sum of "&amp;T(Transactions!$M$19),Pivot!$A$3,"Customer","AECC"))</f>
        <v>26187.625073548526</v>
      </c>
      <c r="H21" s="51">
        <f>-'2021 NOLC Refund Detail'!D4</f>
        <v>-630736.73647840356</v>
      </c>
      <c r="I21" s="62">
        <f>F21+G21+H21</f>
        <v>-285029.91140485206</v>
      </c>
      <c r="J21" s="59"/>
      <c r="L21" s="50"/>
      <c r="M21" s="51"/>
      <c r="N21" s="51"/>
      <c r="O21" s="51"/>
      <c r="P21" s="51"/>
      <c r="Q21" s="51"/>
    </row>
    <row r="22" spans="2:17" x14ac:dyDescent="0.25">
      <c r="B22" s="59"/>
      <c r="C22" s="63" t="s">
        <v>83</v>
      </c>
      <c r="D22" s="61">
        <f>GETPIVOTDATA("Sum of "&amp;T(Transactions!$J$19),Pivot!$A$3,"Customer",C22)</f>
        <v>918760.49999999988</v>
      </c>
      <c r="E22" s="61">
        <f>GETPIVOTDATA("Sum of "&amp;T(Transactions!$K$19),Pivot!$A$3,"Customer",C22)</f>
        <v>901204.5</v>
      </c>
      <c r="F22" s="61">
        <f>D22-E22</f>
        <v>17555.999999999884</v>
      </c>
      <c r="G22" s="51">
        <f>(+GETPIVOTDATA("Sum of "&amp;T(Transactions!$M$19),Pivot!$A$3,"Customer","AECI"))</f>
        <v>1438.8804985466222</v>
      </c>
      <c r="H22" s="51">
        <f>-'2021 NOLC Refund Detail'!D5</f>
        <v>-34279.170460782807</v>
      </c>
      <c r="I22" s="62">
        <f t="shared" ref="I22:I33" si="0">F22+G22+H22</f>
        <v>-15284.2899622363</v>
      </c>
      <c r="J22" s="59"/>
      <c r="L22" s="50"/>
      <c r="M22" s="51"/>
      <c r="N22" s="51"/>
      <c r="O22" s="51"/>
      <c r="P22" s="51"/>
      <c r="Q22" s="51"/>
    </row>
    <row r="23" spans="2:17" x14ac:dyDescent="0.25">
      <c r="B23" s="59"/>
      <c r="C23" s="63" t="s">
        <v>54</v>
      </c>
      <c r="D23" s="61">
        <f>GETPIVOTDATA("Sum of "&amp;T(Transactions!$J$19),Pivot!$A$3,"Customer",C23)</f>
        <v>2654780.3400000003</v>
      </c>
      <c r="E23" s="61">
        <f>GETPIVOTDATA("Sum of "&amp;T(Transactions!$K$19),Pivot!$A$3,"Customer",C23)</f>
        <v>2604051.8600000003</v>
      </c>
      <c r="F23" s="61">
        <f t="shared" ref="F23:F35" si="1">D23-E23</f>
        <v>50728.479999999981</v>
      </c>
      <c r="G23" s="51">
        <f>(+GETPIVOTDATA("Sum of "&amp;T(Transactions!$M$19),Pivot!$A$3,"Customer","Bentonville, AR"))</f>
        <v>4157.6794596099553</v>
      </c>
      <c r="H23" s="51">
        <f>-'2021 NOLC Refund Detail'!D6</f>
        <v>-102837.51138234841</v>
      </c>
      <c r="I23" s="62">
        <f t="shared" si="0"/>
        <v>-47951.351922738475</v>
      </c>
      <c r="J23" s="59"/>
      <c r="L23" s="50"/>
      <c r="M23" s="51"/>
      <c r="N23" s="51"/>
      <c r="O23" s="51"/>
      <c r="P23" s="51"/>
      <c r="Q23" s="51"/>
    </row>
    <row r="24" spans="2:17" x14ac:dyDescent="0.25">
      <c r="B24" s="59"/>
      <c r="C24" s="60" t="s">
        <v>17</v>
      </c>
      <c r="D24" s="61">
        <f>GETPIVOTDATA("Sum of "&amp;T(Transactions!$J$19),Pivot!$A$3,"Customer",C24)</f>
        <v>2231275.4999999995</v>
      </c>
      <c r="E24" s="61">
        <f>GETPIVOTDATA("Sum of "&amp;T(Transactions!$K$19),Pivot!$A$3,"Customer",C24)</f>
        <v>2188639.5</v>
      </c>
      <c r="F24" s="61">
        <f t="shared" si="1"/>
        <v>42635.999999999534</v>
      </c>
      <c r="G24" s="51">
        <f>(+GETPIVOTDATA("Sum of "&amp;T(Transactions!$M$19),Pivot!$A$3,"Customer","Coffeyville, KS"))</f>
        <v>3494.4240678989404</v>
      </c>
      <c r="H24" s="51">
        <f>-'2021 NOLC Refund Detail'!D7</f>
        <v>-89125.843198035291</v>
      </c>
      <c r="I24" s="62">
        <f t="shared" si="0"/>
        <v>-42995.419130136819</v>
      </c>
      <c r="J24" s="59"/>
      <c r="L24" s="50"/>
      <c r="M24" s="51"/>
      <c r="N24" s="51"/>
      <c r="O24" s="51"/>
      <c r="P24" s="51"/>
      <c r="Q24" s="51"/>
    </row>
    <row r="25" spans="2:17" x14ac:dyDescent="0.25">
      <c r="B25" s="59"/>
      <c r="C25" s="63" t="s">
        <v>13</v>
      </c>
      <c r="D25" s="61">
        <f>GETPIVOTDATA("Sum of "&amp;T(Transactions!$J$19),Pivot!$A$3,"Customer",C25)</f>
        <v>18229958.34</v>
      </c>
      <c r="E25" s="61">
        <f>GETPIVOTDATA("Sum of "&amp;T(Transactions!$K$19),Pivot!$A$3,"Customer",C25)</f>
        <v>17881613.859999999</v>
      </c>
      <c r="F25" s="61">
        <f t="shared" si="1"/>
        <v>348344.48000000045</v>
      </c>
      <c r="G25" s="51">
        <f>(+GETPIVOTDATA("Sum of "&amp;T(Transactions!$M$19),Pivot!$A$3,"Customer","ETEC"))</f>
        <v>28550.129815924123</v>
      </c>
      <c r="H25" s="51">
        <f>-'2021 NOLC Refund Detail'!D8</f>
        <v>-699295.07739996922</v>
      </c>
      <c r="I25" s="62">
        <f t="shared" si="0"/>
        <v>-322400.46758404467</v>
      </c>
      <c r="J25" s="59"/>
      <c r="L25" s="52"/>
      <c r="M25" s="51"/>
      <c r="N25" s="51"/>
      <c r="O25" s="51"/>
      <c r="P25" s="51"/>
      <c r="Q25" s="51"/>
    </row>
    <row r="26" spans="2:17" x14ac:dyDescent="0.25">
      <c r="B26" s="59"/>
      <c r="C26" s="60" t="s">
        <v>15</v>
      </c>
      <c r="D26" s="61">
        <f>GETPIVOTDATA("Sum of "&amp;T(Transactions!$J$19),Pivot!$A$3,"Customer",C26)</f>
        <v>189002.16</v>
      </c>
      <c r="E26" s="61">
        <f>GETPIVOTDATA("Sum of "&amp;T(Transactions!$K$19),Pivot!$A$3,"Customer",C26)</f>
        <v>185390.64</v>
      </c>
      <c r="F26" s="61">
        <f t="shared" si="1"/>
        <v>3611.5199999999895</v>
      </c>
      <c r="G26" s="51">
        <f>(+GETPIVOTDATA("Sum of "&amp;T(Transactions!$M$19),Pivot!$A$3,"Customer","Greenbelt"))</f>
        <v>295.99827398673381</v>
      </c>
      <c r="H26" s="51">
        <f>-'2021 NOLC Refund Detail'!D9</f>
        <v>-6855.8340921565614</v>
      </c>
      <c r="I26" s="62">
        <f t="shared" si="0"/>
        <v>-2948.3158181698382</v>
      </c>
      <c r="J26" s="59"/>
      <c r="K26" s="64"/>
      <c r="L26" s="64"/>
      <c r="M26" s="64"/>
      <c r="N26" s="64"/>
      <c r="O26" s="51"/>
      <c r="P26" s="51"/>
      <c r="Q26" s="51"/>
    </row>
    <row r="27" spans="2:17" x14ac:dyDescent="0.25">
      <c r="B27" s="59"/>
      <c r="C27" s="60" t="s">
        <v>57</v>
      </c>
      <c r="D27" s="61">
        <f>GETPIVOTDATA("Sum of "&amp;T(Transactions!$J$19),Pivot!$A$3,"Customer",C27)</f>
        <v>798009.12</v>
      </c>
      <c r="E27" s="61">
        <f>GETPIVOTDATA("Sum of "&amp;T(Transactions!$K$19),Pivot!$A$3,"Customer",C27)</f>
        <v>782760.48</v>
      </c>
      <c r="F27" s="61">
        <f t="shared" si="1"/>
        <v>15248.640000000014</v>
      </c>
      <c r="G27" s="51">
        <f>(+GETPIVOTDATA("Sum of "&amp;T(Transactions!$M$19),Pivot!$A$3,"Customer","Hope, AR"))</f>
        <v>1249.7704901662091</v>
      </c>
      <c r="H27" s="51">
        <f>-'2021 NOLC Refund Detail'!D10</f>
        <v>-34279.170460782807</v>
      </c>
      <c r="I27" s="62">
        <f t="shared" si="0"/>
        <v>-17780.759970616586</v>
      </c>
      <c r="J27" s="59"/>
      <c r="K27" s="64"/>
      <c r="L27" s="64"/>
      <c r="M27" s="64"/>
      <c r="N27" s="64"/>
      <c r="O27" s="51"/>
      <c r="P27" s="51"/>
      <c r="Q27" s="51"/>
    </row>
    <row r="28" spans="2:17" x14ac:dyDescent="0.25">
      <c r="B28" s="59"/>
      <c r="C28" s="60" t="s">
        <v>16</v>
      </c>
      <c r="D28" s="61">
        <f>GETPIVOTDATA("Sum of "&amp;T(Transactions!$J$19),Pivot!$A$3,"Customer",C28)</f>
        <v>98001.12000000001</v>
      </c>
      <c r="E28" s="61">
        <f>GETPIVOTDATA("Sum of "&amp;T(Transactions!$K$19),Pivot!$A$3,"Customer",C28)</f>
        <v>96128.48000000001</v>
      </c>
      <c r="F28" s="61">
        <f t="shared" si="1"/>
        <v>1872.6399999999994</v>
      </c>
      <c r="G28" s="51">
        <f>(+GETPIVOTDATA("Sum of "&amp;T(Transactions!$M$19),Pivot!$A$3,"Customer","Lighthouse"))</f>
        <v>153.48058651163976</v>
      </c>
      <c r="H28" s="51">
        <f>-'2021 NOLC Refund Detail'!D11</f>
        <v>0</v>
      </c>
      <c r="I28" s="62">
        <f t="shared" si="0"/>
        <v>2026.1205865116392</v>
      </c>
      <c r="J28" s="59"/>
      <c r="L28" s="50"/>
      <c r="M28" s="51"/>
      <c r="N28" s="51"/>
      <c r="O28" s="51"/>
      <c r="P28" s="51"/>
      <c r="Q28" s="51"/>
    </row>
    <row r="29" spans="2:17" x14ac:dyDescent="0.25">
      <c r="B29" s="59"/>
      <c r="C29" s="63" t="s">
        <v>56</v>
      </c>
      <c r="D29" s="61">
        <f>GETPIVOTDATA("Sum of "&amp;T(Transactions!$J$19),Pivot!$A$3,"Customer",C29)</f>
        <v>579256.62</v>
      </c>
      <c r="E29" s="61">
        <f>GETPIVOTDATA("Sum of "&amp;T(Transactions!$K$19),Pivot!$A$3,"Customer",C29)</f>
        <v>568187.98</v>
      </c>
      <c r="F29" s="61">
        <f t="shared" si="1"/>
        <v>11068.640000000014</v>
      </c>
      <c r="G29" s="51">
        <f>(+GETPIVOTDATA("Sum of "&amp;T(Transactions!$M$19),Pivot!$A$3,"Customer","Minden, LA"))</f>
        <v>907.17989527415625</v>
      </c>
      <c r="H29" s="51">
        <f>-'2021 NOLC Refund Detail'!D12</f>
        <v>-20567.502276469684</v>
      </c>
      <c r="I29" s="62">
        <f t="shared" si="0"/>
        <v>-8591.6823811955146</v>
      </c>
      <c r="J29" s="59"/>
      <c r="L29" s="50"/>
      <c r="M29" s="51"/>
      <c r="N29" s="51"/>
      <c r="O29" s="51"/>
      <c r="P29" s="51"/>
      <c r="Q29" s="51"/>
    </row>
    <row r="30" spans="2:17" x14ac:dyDescent="0.25">
      <c r="B30" s="59"/>
      <c r="C30" s="63" t="s">
        <v>19</v>
      </c>
      <c r="D30" s="61">
        <f>GETPIVOTDATA("Sum of "&amp;T(Transactions!$J$19),Pivot!$A$3,"Customer",C30)</f>
        <v>1295014.7999999998</v>
      </c>
      <c r="E30" s="61">
        <f>GETPIVOTDATA("Sum of "&amp;T(Transactions!$K$19),Pivot!$A$3,"Customer",C30)</f>
        <v>1270269.2000000002</v>
      </c>
      <c r="F30" s="61">
        <f t="shared" si="1"/>
        <v>24745.599999999627</v>
      </c>
      <c r="G30" s="51">
        <f>(+GETPIVOTDATA("Sum of "&amp;T(Transactions!$M$19),Pivot!$A$3,"Customer","OG&amp;E"))</f>
        <v>2028.1363217609537</v>
      </c>
      <c r="H30" s="51">
        <f>-'2021 NOLC Refund Detail'!D13</f>
        <v>-34279.170460782807</v>
      </c>
      <c r="I30" s="62">
        <f t="shared" si="0"/>
        <v>-7505.4341390222253</v>
      </c>
      <c r="J30" s="59"/>
    </row>
    <row r="31" spans="2:17" x14ac:dyDescent="0.25">
      <c r="B31" s="59"/>
      <c r="C31" s="60" t="s">
        <v>8</v>
      </c>
      <c r="D31" s="61">
        <f>GETPIVOTDATA("Sum of "&amp;T(Transactions!$J$19),Pivot!$A$3,"Customer",C31)</f>
        <v>2220775.38</v>
      </c>
      <c r="E31" s="61">
        <f>GETPIVOTDATA("Sum of "&amp;T(Transactions!$K$19),Pivot!$A$3,"Customer",C31)</f>
        <v>2178340.02</v>
      </c>
      <c r="F31" s="61">
        <f t="shared" si="1"/>
        <v>42435.35999999987</v>
      </c>
      <c r="G31" s="51">
        <f>(+GETPIVOTDATA("Sum of "&amp;T(Transactions!$M$19),Pivot!$A$3,"Customer","OMPA"))</f>
        <v>3477.9797193441218</v>
      </c>
      <c r="H31" s="51">
        <f>-'2021 NOLC Refund Detail'!D14</f>
        <v>-89125.843198035291</v>
      </c>
      <c r="I31" s="62">
        <f t="shared" si="0"/>
        <v>-43212.503478691302</v>
      </c>
      <c r="J31" s="59"/>
    </row>
    <row r="32" spans="2:17" x14ac:dyDescent="0.25">
      <c r="B32" s="59"/>
      <c r="C32" s="60" t="s">
        <v>55</v>
      </c>
      <c r="D32" s="61">
        <f>GETPIVOTDATA("Sum of "&amp;T(Transactions!$J$19),Pivot!$A$3,"Customer",C32)</f>
        <v>211752.42</v>
      </c>
      <c r="E32" s="61">
        <f>GETPIVOTDATA("Sum of "&amp;T(Transactions!$K$19),Pivot!$A$3,"Customer",C32)</f>
        <v>207706.18</v>
      </c>
      <c r="F32" s="61">
        <f t="shared" si="1"/>
        <v>4046.2400000000198</v>
      </c>
      <c r="G32" s="51">
        <f>(+GETPIVOTDATA("Sum of "&amp;T(Transactions!$M$19),Pivot!$A$3,"Customer","Prescott, AR"))</f>
        <v>331.62769585550728</v>
      </c>
      <c r="H32" s="51">
        <f>-'2021 NOLC Refund Detail'!D15</f>
        <v>-6855.8340921565614</v>
      </c>
      <c r="I32" s="62">
        <f t="shared" si="0"/>
        <v>-2477.9663963010344</v>
      </c>
      <c r="J32" s="59"/>
    </row>
    <row r="33" spans="2:11" x14ac:dyDescent="0.25">
      <c r="B33" s="59"/>
      <c r="C33" s="65" t="s">
        <v>9</v>
      </c>
      <c r="D33" s="61">
        <f>GETPIVOTDATA("Sum of "&amp;T(Transactions!$J$19),Pivot!$A$3,"Customer",C33)</f>
        <v>1078012.3199999998</v>
      </c>
      <c r="E33" s="61">
        <f>GETPIVOTDATA("Sum of "&amp;T(Transactions!$K$19),Pivot!$A$3,"Customer",C33)</f>
        <v>1057413.2799999998</v>
      </c>
      <c r="F33" s="61">
        <f t="shared" si="1"/>
        <v>20599.040000000037</v>
      </c>
      <c r="G33" s="51">
        <f>(+GETPIVOTDATA("Sum of "&amp;T(Transactions!$M$19),Pivot!$A$3,"Customer","WFEC"))</f>
        <v>1688.286451628037</v>
      </c>
      <c r="H33" s="51">
        <f>-'2021 NOLC Refund Detail'!D16</f>
        <v>-34279.170460782807</v>
      </c>
      <c r="I33" s="62">
        <f t="shared" si="0"/>
        <v>-11991.844009154731</v>
      </c>
      <c r="J33" s="59"/>
    </row>
    <row r="34" spans="2:11" ht="23" x14ac:dyDescent="0.25">
      <c r="C34" s="66" t="s">
        <v>43</v>
      </c>
      <c r="D34" s="67">
        <f t="shared" ref="D34:I34" si="2">SUM(D21:D33)</f>
        <v>47226039.719999991</v>
      </c>
      <c r="E34" s="67">
        <f t="shared" si="2"/>
        <v>46323627.879999995</v>
      </c>
      <c r="F34" s="67">
        <f t="shared" si="2"/>
        <v>902411.84000000241</v>
      </c>
      <c r="G34" s="68">
        <f t="shared" si="2"/>
        <v>73961.198350055522</v>
      </c>
      <c r="H34" s="68">
        <f t="shared" si="2"/>
        <v>-1782516.8639607055</v>
      </c>
      <c r="I34" s="69">
        <f t="shared" si="2"/>
        <v>-806143.82561064791</v>
      </c>
    </row>
    <row r="35" spans="2:11" x14ac:dyDescent="0.25">
      <c r="C35" s="70" t="s">
        <v>21</v>
      </c>
      <c r="D35" s="61">
        <f>GETPIVOTDATA("Sum of "&amp;T(Transactions!$J$19),Pivot!$A$3,"Customer",C35)</f>
        <v>66595261.079999998</v>
      </c>
      <c r="E35" s="61">
        <f>GETPIVOTDATA("Sum of "&amp;T(Transactions!$K$19),Pivot!$A$3,"Customer",C35)</f>
        <v>65322735.320000008</v>
      </c>
      <c r="F35" s="61">
        <f t="shared" si="1"/>
        <v>1272525.7599999905</v>
      </c>
      <c r="G35" s="51">
        <f>(+GETPIVOTDATA("Sum of "&amp;T(Transactions!$M$19),Pivot!$A$3,"Customer","PSO"))</f>
        <v>104295.53998417748</v>
      </c>
      <c r="H35" s="51">
        <f>-'2021 NOLC Refund Detail'!D18</f>
        <v>-2536658.6140979277</v>
      </c>
      <c r="I35" s="62">
        <f>F35+G35+H35</f>
        <v>-1159837.3141137597</v>
      </c>
    </row>
    <row r="36" spans="2:11" x14ac:dyDescent="0.25">
      <c r="C36" s="71" t="s">
        <v>22</v>
      </c>
      <c r="D36" s="61">
        <f>GETPIVOTDATA("Sum of "&amp;T(Transactions!$J$19),Pivot!$A$3,"Customer",C36)</f>
        <v>62151960.299999997</v>
      </c>
      <c r="E36" s="61">
        <f>GETPIVOTDATA("Sum of "&amp;T(Transactions!$K$19),Pivot!$A$3,"Customer",C36)</f>
        <v>60964338.699999996</v>
      </c>
      <c r="F36" s="61">
        <f>D36-E36</f>
        <v>1187621.6000000015</v>
      </c>
      <c r="G36" s="51">
        <f>(+GETPIVOTDATA("Sum of "&amp;T(Transactions!$M$19),Pivot!$A$3,"Customer","SWEPCO"))</f>
        <v>97336.839820730092</v>
      </c>
      <c r="H36" s="51">
        <f>-'2021 NOLC Refund Detail'!D19</f>
        <v>-2426965.2686234224</v>
      </c>
      <c r="I36" s="62">
        <f>F36+G36+H36</f>
        <v>-1142006.8288026908</v>
      </c>
    </row>
    <row r="37" spans="2:11" x14ac:dyDescent="0.25">
      <c r="C37" s="72" t="s">
        <v>81</v>
      </c>
      <c r="D37" s="61">
        <f>GETPIVOTDATA("Sum of "&amp;T(Transactions!$J$19),Pivot!$A$3,"Customer",C37)</f>
        <v>2840282.46</v>
      </c>
      <c r="E37" s="61">
        <f>GETPIVOTDATA("Sum of "&amp;T(Transactions!$K$19),Pivot!$A$3,"Customer",C37)</f>
        <v>2786009.34</v>
      </c>
      <c r="F37" s="61">
        <f>D37-E37</f>
        <v>54273.120000000112</v>
      </c>
      <c r="G37" s="51">
        <f>(+GETPIVOTDATA("Sum of "&amp;T(Transactions!$M$19),Pivot!$A$3,"Customer","SWEPCO-Valley"))</f>
        <v>4448.1962840784163</v>
      </c>
      <c r="H37" s="51">
        <f>-'2021 NOLC Refund Detail'!D20</f>
        <v>-109693.34547450498</v>
      </c>
      <c r="I37" s="62">
        <f>F37+G37+H37</f>
        <v>-50972.029190426452</v>
      </c>
    </row>
    <row r="38" spans="2:11" ht="23" x14ac:dyDescent="0.25">
      <c r="C38" s="73" t="s">
        <v>51</v>
      </c>
      <c r="D38" s="74">
        <f t="shared" ref="D38:I38" si="3">SUM(D35:D37)</f>
        <v>131587503.83999999</v>
      </c>
      <c r="E38" s="74">
        <f t="shared" si="3"/>
        <v>129073083.36000001</v>
      </c>
      <c r="F38" s="74">
        <f t="shared" si="3"/>
        <v>2514420.4799999921</v>
      </c>
      <c r="G38" s="75">
        <f t="shared" si="3"/>
        <v>206080.57608898598</v>
      </c>
      <c r="H38" s="75">
        <f t="shared" si="3"/>
        <v>-5073317.2281958545</v>
      </c>
      <c r="I38" s="76">
        <f t="shared" si="3"/>
        <v>-2352816.1721068765</v>
      </c>
      <c r="K38" s="77"/>
    </row>
    <row r="39" spans="2:11" ht="23.25" customHeight="1" thickBot="1" x14ac:dyDescent="0.3">
      <c r="C39" s="78" t="s">
        <v>44</v>
      </c>
      <c r="D39" s="79">
        <f t="shared" ref="D39:I39" si="4">SUM(D34,D38)</f>
        <v>178813543.55999997</v>
      </c>
      <c r="E39" s="80">
        <f t="shared" si="4"/>
        <v>175396711.24000001</v>
      </c>
      <c r="F39" s="79">
        <f t="shared" si="4"/>
        <v>3416832.3199999947</v>
      </c>
      <c r="G39" s="80">
        <f t="shared" si="4"/>
        <v>280041.7744390415</v>
      </c>
      <c r="H39" s="80">
        <f t="shared" si="4"/>
        <v>-6855834.0921565602</v>
      </c>
      <c r="I39" s="81">
        <f t="shared" si="4"/>
        <v>-3158959.9977175244</v>
      </c>
      <c r="K39" s="77"/>
    </row>
    <row r="40" spans="2:11" x14ac:dyDescent="0.25">
      <c r="E40" s="50"/>
      <c r="F40" s="50"/>
      <c r="G40" s="50"/>
      <c r="H40" s="50"/>
    </row>
    <row r="41" spans="2:11" x14ac:dyDescent="0.25">
      <c r="I41" s="249"/>
    </row>
    <row r="42" spans="2:11" x14ac:dyDescent="0.25">
      <c r="D42" s="59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I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81640625" style="1" bestFit="1" customWidth="1"/>
    <col min="15" max="15" width="12.1796875" style="1" bestFit="1" customWidth="1"/>
    <col min="16" max="16384" width="8.7265625" style="1"/>
  </cols>
  <sheetData>
    <row r="3" spans="1:15" x14ac:dyDescent="0.25">
      <c r="A3" s="83"/>
      <c r="B3" s="84"/>
      <c r="C3" s="85" t="s">
        <v>53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</row>
    <row r="4" spans="1:15" x14ac:dyDescent="0.25">
      <c r="A4" s="85" t="s">
        <v>0</v>
      </c>
      <c r="B4" s="85" t="s">
        <v>24</v>
      </c>
      <c r="C4" s="87">
        <v>44927</v>
      </c>
      <c r="D4" s="88">
        <v>44958</v>
      </c>
      <c r="E4" s="88">
        <v>44986</v>
      </c>
      <c r="F4" s="88">
        <v>45017</v>
      </c>
      <c r="G4" s="88">
        <v>45047</v>
      </c>
      <c r="H4" s="88">
        <v>45078</v>
      </c>
      <c r="I4" s="88">
        <v>45108</v>
      </c>
      <c r="J4" s="88">
        <v>45139</v>
      </c>
      <c r="K4" s="88">
        <v>45170</v>
      </c>
      <c r="L4" s="88">
        <v>45200</v>
      </c>
      <c r="M4" s="88">
        <v>45231</v>
      </c>
      <c r="N4" s="88">
        <v>45261</v>
      </c>
      <c r="O4" s="89" t="s">
        <v>18</v>
      </c>
    </row>
    <row r="5" spans="1:15" x14ac:dyDescent="0.25">
      <c r="A5" s="83" t="s">
        <v>14</v>
      </c>
      <c r="B5" s="83" t="s">
        <v>70</v>
      </c>
      <c r="C5" s="90">
        <v>1449016.56</v>
      </c>
      <c r="D5" s="91">
        <v>1375515.72</v>
      </c>
      <c r="E5" s="91">
        <v>1228514.04</v>
      </c>
      <c r="F5" s="91">
        <v>908260.38</v>
      </c>
      <c r="G5" s="91">
        <v>1260014.3999999999</v>
      </c>
      <c r="H5" s="91">
        <v>1706269.5</v>
      </c>
      <c r="I5" s="91">
        <v>1617018.48</v>
      </c>
      <c r="J5" s="91">
        <v>1842771.06</v>
      </c>
      <c r="K5" s="91">
        <v>1583768.1</v>
      </c>
      <c r="L5" s="91">
        <v>1214513.8799999999</v>
      </c>
      <c r="M5" s="91">
        <v>1288014.72</v>
      </c>
      <c r="N5" s="91">
        <v>1247764.26</v>
      </c>
      <c r="O5" s="92">
        <v>16721441.100000001</v>
      </c>
    </row>
    <row r="6" spans="1:15" ht="13" x14ac:dyDescent="0.3">
      <c r="A6" s="214"/>
      <c r="B6" s="93" t="s">
        <v>25</v>
      </c>
      <c r="C6" s="250">
        <v>27688.320000000065</v>
      </c>
      <c r="D6" s="251">
        <v>26283.840000000084</v>
      </c>
      <c r="E6" s="251">
        <v>23474.880000000121</v>
      </c>
      <c r="F6" s="251">
        <v>17355.359999999986</v>
      </c>
      <c r="G6" s="251">
        <v>24076.800000000047</v>
      </c>
      <c r="H6" s="251">
        <v>32604</v>
      </c>
      <c r="I6" s="251">
        <v>30898.560000000056</v>
      </c>
      <c r="J6" s="251">
        <v>35212.320000000065</v>
      </c>
      <c r="K6" s="251">
        <v>30263.200000000186</v>
      </c>
      <c r="L6" s="251">
        <v>23207.35999999987</v>
      </c>
      <c r="M6" s="251">
        <v>24611.840000000084</v>
      </c>
      <c r="N6" s="251">
        <v>23842.719999999972</v>
      </c>
      <c r="O6" s="252">
        <v>319519.20000000054</v>
      </c>
    </row>
    <row r="7" spans="1:15" ht="13" x14ac:dyDescent="0.3">
      <c r="A7" s="214"/>
      <c r="B7" s="93" t="s">
        <v>26</v>
      </c>
      <c r="C7" s="250">
        <v>2269.3201005649589</v>
      </c>
      <c r="D7" s="251">
        <v>2154.2096606812288</v>
      </c>
      <c r="E7" s="251">
        <v>1923.9887809137695</v>
      </c>
      <c r="F7" s="251">
        <v>1422.4361499918039</v>
      </c>
      <c r="G7" s="251">
        <v>1973.3218265782252</v>
      </c>
      <c r="H7" s="251">
        <v>2672.2066401580132</v>
      </c>
      <c r="I7" s="251">
        <v>2532.4296774420554</v>
      </c>
      <c r="J7" s="251">
        <v>2885.9831713706544</v>
      </c>
      <c r="K7" s="251">
        <v>2480.3559070184633</v>
      </c>
      <c r="L7" s="251">
        <v>1902.0629828406782</v>
      </c>
      <c r="M7" s="251">
        <v>2017.1734227244078</v>
      </c>
      <c r="N7" s="251">
        <v>1954.1367532642701</v>
      </c>
      <c r="O7" s="252">
        <v>26187.625073548526</v>
      </c>
    </row>
    <row r="8" spans="1:15" ht="13" x14ac:dyDescent="0.3">
      <c r="A8" s="214"/>
      <c r="B8" s="93" t="s">
        <v>27</v>
      </c>
      <c r="C8" s="250">
        <v>29957.640100565026</v>
      </c>
      <c r="D8" s="251">
        <v>28438.049660681314</v>
      </c>
      <c r="E8" s="251">
        <v>25398.86878091389</v>
      </c>
      <c r="F8" s="251">
        <v>18777.796149991791</v>
      </c>
      <c r="G8" s="251">
        <v>26050.121826578274</v>
      </c>
      <c r="H8" s="251">
        <v>35276.206640158016</v>
      </c>
      <c r="I8" s="251">
        <v>33430.989677442114</v>
      </c>
      <c r="J8" s="251">
        <v>38098.303171370717</v>
      </c>
      <c r="K8" s="251">
        <v>32743.55590701865</v>
      </c>
      <c r="L8" s="251">
        <v>25109.422982840548</v>
      </c>
      <c r="M8" s="251">
        <v>26629.013422724493</v>
      </c>
      <c r="N8" s="251">
        <v>25796.856753264241</v>
      </c>
      <c r="O8" s="252">
        <v>345706.82507354912</v>
      </c>
    </row>
    <row r="9" spans="1:15" x14ac:dyDescent="0.25">
      <c r="A9" s="214"/>
      <c r="B9" s="93" t="s">
        <v>49</v>
      </c>
      <c r="C9" s="94">
        <v>1421328.24</v>
      </c>
      <c r="D9" s="82">
        <v>1349231.88</v>
      </c>
      <c r="E9" s="82">
        <v>1205039.1599999999</v>
      </c>
      <c r="F9" s="82">
        <v>890905.02</v>
      </c>
      <c r="G9" s="82">
        <v>1235937.5999999999</v>
      </c>
      <c r="H9" s="82">
        <v>1673665.5</v>
      </c>
      <c r="I9" s="82">
        <v>1586119.92</v>
      </c>
      <c r="J9" s="82">
        <v>1807558.74</v>
      </c>
      <c r="K9" s="82">
        <v>1553504.9</v>
      </c>
      <c r="L9" s="82">
        <v>1191306.52</v>
      </c>
      <c r="M9" s="82">
        <v>1263402.8799999999</v>
      </c>
      <c r="N9" s="82">
        <v>1223921.54</v>
      </c>
      <c r="O9" s="95">
        <v>16401921.899999999</v>
      </c>
    </row>
    <row r="10" spans="1:15" x14ac:dyDescent="0.25">
      <c r="A10" s="214"/>
      <c r="B10" s="93" t="s">
        <v>87</v>
      </c>
      <c r="C10" s="94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95">
        <v>0</v>
      </c>
    </row>
    <row r="11" spans="1:15" x14ac:dyDescent="0.25">
      <c r="A11" s="214"/>
      <c r="B11" s="93" t="s">
        <v>89</v>
      </c>
      <c r="C11" s="94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95">
        <v>0</v>
      </c>
    </row>
    <row r="12" spans="1:15" x14ac:dyDescent="0.25">
      <c r="A12" s="83" t="s">
        <v>17</v>
      </c>
      <c r="B12" s="83" t="s">
        <v>70</v>
      </c>
      <c r="C12" s="90">
        <v>182002.08</v>
      </c>
      <c r="D12" s="91">
        <v>187252.13999999998</v>
      </c>
      <c r="E12" s="91">
        <v>180252.06</v>
      </c>
      <c r="F12" s="91">
        <v>171501.96</v>
      </c>
      <c r="G12" s="91">
        <v>183752.1</v>
      </c>
      <c r="H12" s="91">
        <v>201252.3</v>
      </c>
      <c r="I12" s="91">
        <v>192502.2</v>
      </c>
      <c r="J12" s="91">
        <v>190752.18</v>
      </c>
      <c r="K12" s="91">
        <v>196002.24</v>
      </c>
      <c r="L12" s="91">
        <v>187252.13999999998</v>
      </c>
      <c r="M12" s="91">
        <v>182002.08</v>
      </c>
      <c r="N12" s="91">
        <v>176752.02</v>
      </c>
      <c r="O12" s="92">
        <v>2231275.4999999995</v>
      </c>
    </row>
    <row r="13" spans="1:15" ht="13" x14ac:dyDescent="0.3">
      <c r="A13" s="214"/>
      <c r="B13" s="93" t="s">
        <v>25</v>
      </c>
      <c r="C13" s="250">
        <v>3477.7599999999802</v>
      </c>
      <c r="D13" s="251">
        <v>3578.0799999999872</v>
      </c>
      <c r="E13" s="251">
        <v>3444.320000000007</v>
      </c>
      <c r="F13" s="251">
        <v>3277.1199999999953</v>
      </c>
      <c r="G13" s="251">
        <v>3511.2000000000116</v>
      </c>
      <c r="H13" s="251">
        <v>3845.6000000000058</v>
      </c>
      <c r="I13" s="251">
        <v>3678.4000000000233</v>
      </c>
      <c r="J13" s="251">
        <v>3644.9599999999919</v>
      </c>
      <c r="K13" s="251">
        <v>3745.2799999999988</v>
      </c>
      <c r="L13" s="251">
        <v>3578.0799999999872</v>
      </c>
      <c r="M13" s="251">
        <v>3477.7599999999802</v>
      </c>
      <c r="N13" s="251">
        <v>3377.4400000000023</v>
      </c>
      <c r="O13" s="252">
        <v>42635.999999999971</v>
      </c>
    </row>
    <row r="14" spans="1:15" ht="13" x14ac:dyDescent="0.3">
      <c r="A14" s="214"/>
      <c r="B14" s="93" t="s">
        <v>26</v>
      </c>
      <c r="C14" s="250">
        <v>285.03537495018804</v>
      </c>
      <c r="D14" s="251">
        <v>293.25754922759734</v>
      </c>
      <c r="E14" s="251">
        <v>282.29465019105163</v>
      </c>
      <c r="F14" s="251">
        <v>268.59102639536951</v>
      </c>
      <c r="G14" s="251">
        <v>287.77609970932451</v>
      </c>
      <c r="H14" s="251">
        <v>315.18334730068869</v>
      </c>
      <c r="I14" s="251">
        <v>301.47972350500663</v>
      </c>
      <c r="J14" s="251">
        <v>298.73899874587016</v>
      </c>
      <c r="K14" s="251">
        <v>306.96117302327946</v>
      </c>
      <c r="L14" s="251">
        <v>293.25754922759734</v>
      </c>
      <c r="M14" s="251">
        <v>285.03537495018804</v>
      </c>
      <c r="N14" s="251">
        <v>276.81320067277881</v>
      </c>
      <c r="O14" s="252">
        <v>3494.4240678989404</v>
      </c>
    </row>
    <row r="15" spans="1:15" ht="13" x14ac:dyDescent="0.3">
      <c r="A15" s="214"/>
      <c r="B15" s="93" t="s">
        <v>27</v>
      </c>
      <c r="C15" s="250">
        <v>3762.7953749501685</v>
      </c>
      <c r="D15" s="251">
        <v>3871.3375492275845</v>
      </c>
      <c r="E15" s="251">
        <v>3726.6146501910584</v>
      </c>
      <c r="F15" s="251">
        <v>3545.711026395365</v>
      </c>
      <c r="G15" s="251">
        <v>3798.9760997093363</v>
      </c>
      <c r="H15" s="251">
        <v>4160.7833473006949</v>
      </c>
      <c r="I15" s="251">
        <v>3979.8797235050297</v>
      </c>
      <c r="J15" s="251">
        <v>3943.6989987458619</v>
      </c>
      <c r="K15" s="251">
        <v>4052.2411730232784</v>
      </c>
      <c r="L15" s="251">
        <v>3871.3375492275845</v>
      </c>
      <c r="M15" s="251">
        <v>3762.7953749501685</v>
      </c>
      <c r="N15" s="251">
        <v>3654.2532006727811</v>
      </c>
      <c r="O15" s="252">
        <v>46130.424067898915</v>
      </c>
    </row>
    <row r="16" spans="1:15" x14ac:dyDescent="0.25">
      <c r="A16" s="214"/>
      <c r="B16" s="93" t="s">
        <v>49</v>
      </c>
      <c r="C16" s="94">
        <v>178524.32</v>
      </c>
      <c r="D16" s="82">
        <v>183674.06</v>
      </c>
      <c r="E16" s="82">
        <v>176807.74</v>
      </c>
      <c r="F16" s="82">
        <v>168224.84</v>
      </c>
      <c r="G16" s="82">
        <v>180240.9</v>
      </c>
      <c r="H16" s="82">
        <v>197406.69999999998</v>
      </c>
      <c r="I16" s="82">
        <v>188823.8</v>
      </c>
      <c r="J16" s="82">
        <v>187107.22</v>
      </c>
      <c r="K16" s="82">
        <v>192256.96</v>
      </c>
      <c r="L16" s="82">
        <v>183674.06</v>
      </c>
      <c r="M16" s="82">
        <v>178524.32</v>
      </c>
      <c r="N16" s="82">
        <v>173374.58</v>
      </c>
      <c r="O16" s="95">
        <v>2188639.5</v>
      </c>
    </row>
    <row r="17" spans="1:15" x14ac:dyDescent="0.25">
      <c r="A17" s="214"/>
      <c r="B17" s="93" t="s">
        <v>87</v>
      </c>
      <c r="C17" s="94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95">
        <v>0</v>
      </c>
    </row>
    <row r="18" spans="1:15" x14ac:dyDescent="0.25">
      <c r="A18" s="214"/>
      <c r="B18" s="93" t="s">
        <v>89</v>
      </c>
      <c r="C18" s="94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95">
        <v>0</v>
      </c>
    </row>
    <row r="19" spans="1:15" x14ac:dyDescent="0.25">
      <c r="A19" s="83" t="s">
        <v>13</v>
      </c>
      <c r="B19" s="83" t="s">
        <v>70</v>
      </c>
      <c r="C19" s="90">
        <v>1692269.34</v>
      </c>
      <c r="D19" s="91">
        <v>1671269.1</v>
      </c>
      <c r="E19" s="91">
        <v>1526017.44</v>
      </c>
      <c r="F19" s="91">
        <v>1053512.04</v>
      </c>
      <c r="G19" s="91">
        <v>1244264.22</v>
      </c>
      <c r="H19" s="91">
        <v>1638018.72</v>
      </c>
      <c r="I19" s="91">
        <v>1631018.64</v>
      </c>
      <c r="J19" s="91">
        <v>1793770.5</v>
      </c>
      <c r="K19" s="91">
        <v>1634518.68</v>
      </c>
      <c r="L19" s="91">
        <v>1225014</v>
      </c>
      <c r="M19" s="91">
        <v>1517267.34</v>
      </c>
      <c r="N19" s="91">
        <v>1603018.32</v>
      </c>
      <c r="O19" s="92">
        <v>18229958.34</v>
      </c>
    </row>
    <row r="20" spans="1:15" ht="13" x14ac:dyDescent="0.3">
      <c r="A20" s="214"/>
      <c r="B20" s="93" t="s">
        <v>25</v>
      </c>
      <c r="C20" s="250">
        <v>32336.480000000214</v>
      </c>
      <c r="D20" s="251">
        <v>31935.200000000186</v>
      </c>
      <c r="E20" s="251">
        <v>29159.679999999935</v>
      </c>
      <c r="F20" s="251">
        <v>20130.880000000121</v>
      </c>
      <c r="G20" s="251">
        <v>23775.840000000084</v>
      </c>
      <c r="H20" s="251">
        <v>31299.840000000084</v>
      </c>
      <c r="I20" s="251">
        <v>31166.080000000075</v>
      </c>
      <c r="J20" s="251">
        <v>34276</v>
      </c>
      <c r="K20" s="251">
        <v>31232.959999999963</v>
      </c>
      <c r="L20" s="251">
        <v>23408</v>
      </c>
      <c r="M20" s="251">
        <v>28992.480000000214</v>
      </c>
      <c r="N20" s="251">
        <v>30631.040000000037</v>
      </c>
      <c r="O20" s="252">
        <v>348344.48000000091</v>
      </c>
    </row>
    <row r="21" spans="1:15" ht="13" x14ac:dyDescent="0.3">
      <c r="A21" s="214"/>
      <c r="B21" s="93" t="s">
        <v>26</v>
      </c>
      <c r="C21" s="250">
        <v>2650.2808420849219</v>
      </c>
      <c r="D21" s="251">
        <v>2617.3921449752847</v>
      </c>
      <c r="E21" s="251">
        <v>2389.9119899669613</v>
      </c>
      <c r="F21" s="251">
        <v>1649.9163050001271</v>
      </c>
      <c r="G21" s="251">
        <v>1948.6553037459971</v>
      </c>
      <c r="H21" s="251">
        <v>2565.3183745516926</v>
      </c>
      <c r="I21" s="251">
        <v>2554.3554755151472</v>
      </c>
      <c r="J21" s="251">
        <v>2809.2428781148342</v>
      </c>
      <c r="K21" s="251">
        <v>2559.8369250334199</v>
      </c>
      <c r="L21" s="251">
        <v>1918.5073313954965</v>
      </c>
      <c r="M21" s="251">
        <v>2376.2083661712795</v>
      </c>
      <c r="N21" s="251">
        <v>2510.5038793689641</v>
      </c>
      <c r="O21" s="252">
        <v>28550.129815924123</v>
      </c>
    </row>
    <row r="22" spans="1:15" ht="13" x14ac:dyDescent="0.3">
      <c r="A22" s="214"/>
      <c r="B22" s="93" t="s">
        <v>27</v>
      </c>
      <c r="C22" s="250">
        <v>34986.760842085139</v>
      </c>
      <c r="D22" s="251">
        <v>34552.592144975468</v>
      </c>
      <c r="E22" s="251">
        <v>31549.591989966895</v>
      </c>
      <c r="F22" s="251">
        <v>21780.796305000247</v>
      </c>
      <c r="G22" s="251">
        <v>25724.49530374608</v>
      </c>
      <c r="H22" s="251">
        <v>33865.158374551778</v>
      </c>
      <c r="I22" s="251">
        <v>33720.435475515224</v>
      </c>
      <c r="J22" s="251">
        <v>37085.242878114834</v>
      </c>
      <c r="K22" s="251">
        <v>33792.796925033384</v>
      </c>
      <c r="L22" s="251">
        <v>25326.507331395496</v>
      </c>
      <c r="M22" s="251">
        <v>31368.688366171493</v>
      </c>
      <c r="N22" s="251">
        <v>33141.543879369005</v>
      </c>
      <c r="O22" s="252">
        <v>376894.60981592501</v>
      </c>
    </row>
    <row r="23" spans="1:15" x14ac:dyDescent="0.25">
      <c r="A23" s="214"/>
      <c r="B23" s="93" t="s">
        <v>49</v>
      </c>
      <c r="C23" s="94">
        <v>1659932.8599999999</v>
      </c>
      <c r="D23" s="82">
        <v>1639333.9</v>
      </c>
      <c r="E23" s="82">
        <v>1496857.76</v>
      </c>
      <c r="F23" s="82">
        <v>1033381.1599999999</v>
      </c>
      <c r="G23" s="82">
        <v>1220488.3799999999</v>
      </c>
      <c r="H23" s="82">
        <v>1606718.88</v>
      </c>
      <c r="I23" s="82">
        <v>1599852.5599999998</v>
      </c>
      <c r="J23" s="82">
        <v>1759494.5</v>
      </c>
      <c r="K23" s="82">
        <v>1603285.72</v>
      </c>
      <c r="L23" s="82">
        <v>1201606</v>
      </c>
      <c r="M23" s="82">
        <v>1488274.8599999999</v>
      </c>
      <c r="N23" s="82">
        <v>1572387.28</v>
      </c>
      <c r="O23" s="95">
        <v>17881613.859999999</v>
      </c>
    </row>
    <row r="24" spans="1:15" x14ac:dyDescent="0.25">
      <c r="A24" s="214"/>
      <c r="B24" s="93" t="s">
        <v>87</v>
      </c>
      <c r="C24" s="94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95">
        <v>0</v>
      </c>
    </row>
    <row r="25" spans="1:15" x14ac:dyDescent="0.25">
      <c r="A25" s="214"/>
      <c r="B25" s="93" t="s">
        <v>89</v>
      </c>
      <c r="C25" s="94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95">
        <v>0</v>
      </c>
    </row>
    <row r="26" spans="1:15" x14ac:dyDescent="0.25">
      <c r="A26" s="83" t="s">
        <v>15</v>
      </c>
      <c r="B26" s="83" t="s">
        <v>70</v>
      </c>
      <c r="C26" s="90">
        <v>10500.119999999999</v>
      </c>
      <c r="D26" s="91">
        <v>8750.1</v>
      </c>
      <c r="E26" s="91">
        <v>8750.1</v>
      </c>
      <c r="F26" s="91">
        <v>12250.14</v>
      </c>
      <c r="G26" s="91">
        <v>7000.08</v>
      </c>
      <c r="H26" s="91">
        <v>24500.28</v>
      </c>
      <c r="I26" s="91">
        <v>22750.26</v>
      </c>
      <c r="J26" s="91">
        <v>33250.379999999997</v>
      </c>
      <c r="K26" s="91">
        <v>31500.36</v>
      </c>
      <c r="L26" s="91">
        <v>10500.119999999999</v>
      </c>
      <c r="M26" s="91">
        <v>10500.119999999999</v>
      </c>
      <c r="N26" s="91">
        <v>8750.1</v>
      </c>
      <c r="O26" s="92">
        <v>189002.16</v>
      </c>
    </row>
    <row r="27" spans="1:15" ht="13" x14ac:dyDescent="0.3">
      <c r="A27" s="214"/>
      <c r="B27" s="93" t="s">
        <v>25</v>
      </c>
      <c r="C27" s="250">
        <v>200.63999999999942</v>
      </c>
      <c r="D27" s="251">
        <v>167.20000000000073</v>
      </c>
      <c r="E27" s="251">
        <v>167.20000000000073</v>
      </c>
      <c r="F27" s="251">
        <v>234.07999999999993</v>
      </c>
      <c r="G27" s="251">
        <v>133.76000000000022</v>
      </c>
      <c r="H27" s="251">
        <v>468.15999999999985</v>
      </c>
      <c r="I27" s="251">
        <v>434.71999999999753</v>
      </c>
      <c r="J27" s="251">
        <v>635.36000000000058</v>
      </c>
      <c r="K27" s="251">
        <v>601.92000000000189</v>
      </c>
      <c r="L27" s="251">
        <v>200.63999999999942</v>
      </c>
      <c r="M27" s="251">
        <v>200.63999999999942</v>
      </c>
      <c r="N27" s="251">
        <v>167.20000000000073</v>
      </c>
      <c r="O27" s="252">
        <v>3611.5200000000004</v>
      </c>
    </row>
    <row r="28" spans="1:15" ht="13" x14ac:dyDescent="0.3">
      <c r="A28" s="214"/>
      <c r="B28" s="93" t="s">
        <v>26</v>
      </c>
      <c r="C28" s="250">
        <v>16.444348554818543</v>
      </c>
      <c r="D28" s="251">
        <v>13.70362379568212</v>
      </c>
      <c r="E28" s="251">
        <v>13.70362379568212</v>
      </c>
      <c r="F28" s="251">
        <v>19.185073313954966</v>
      </c>
      <c r="G28" s="251">
        <v>10.962899036545695</v>
      </c>
      <c r="H28" s="251">
        <v>38.370146627909932</v>
      </c>
      <c r="I28" s="251">
        <v>35.629421868773505</v>
      </c>
      <c r="J28" s="251">
        <v>52.073770423592052</v>
      </c>
      <c r="K28" s="251">
        <v>49.333045664455625</v>
      </c>
      <c r="L28" s="251">
        <v>16.444348554818543</v>
      </c>
      <c r="M28" s="251">
        <v>16.444348554818543</v>
      </c>
      <c r="N28" s="251">
        <v>13.70362379568212</v>
      </c>
      <c r="O28" s="252">
        <v>295.99827398673381</v>
      </c>
    </row>
    <row r="29" spans="1:15" ht="13" x14ac:dyDescent="0.3">
      <c r="A29" s="214"/>
      <c r="B29" s="93" t="s">
        <v>27</v>
      </c>
      <c r="C29" s="250">
        <v>217.08434855481795</v>
      </c>
      <c r="D29" s="251">
        <v>180.90362379568285</v>
      </c>
      <c r="E29" s="251">
        <v>180.90362379568285</v>
      </c>
      <c r="F29" s="251">
        <v>253.2650733139549</v>
      </c>
      <c r="G29" s="251">
        <v>144.72289903654593</v>
      </c>
      <c r="H29" s="251">
        <v>506.5301466279098</v>
      </c>
      <c r="I29" s="251">
        <v>470.34942186877106</v>
      </c>
      <c r="J29" s="251">
        <v>687.43377042359259</v>
      </c>
      <c r="K29" s="251">
        <v>651.25304566445755</v>
      </c>
      <c r="L29" s="251">
        <v>217.08434855481795</v>
      </c>
      <c r="M29" s="251">
        <v>217.08434855481795</v>
      </c>
      <c r="N29" s="251">
        <v>180.90362379568285</v>
      </c>
      <c r="O29" s="252">
        <v>3907.5182739867346</v>
      </c>
    </row>
    <row r="30" spans="1:15" x14ac:dyDescent="0.25">
      <c r="A30" s="214"/>
      <c r="B30" s="93" t="s">
        <v>49</v>
      </c>
      <c r="C30" s="94">
        <v>10299.48</v>
      </c>
      <c r="D30" s="82">
        <v>8582.9</v>
      </c>
      <c r="E30" s="82">
        <v>8582.9</v>
      </c>
      <c r="F30" s="82">
        <v>12016.06</v>
      </c>
      <c r="G30" s="82">
        <v>6866.32</v>
      </c>
      <c r="H30" s="82">
        <v>24032.12</v>
      </c>
      <c r="I30" s="82">
        <v>22315.54</v>
      </c>
      <c r="J30" s="82">
        <v>32615.019999999997</v>
      </c>
      <c r="K30" s="82">
        <v>30898.44</v>
      </c>
      <c r="L30" s="82">
        <v>10299.48</v>
      </c>
      <c r="M30" s="82">
        <v>10299.48</v>
      </c>
      <c r="N30" s="82">
        <v>8582.9</v>
      </c>
      <c r="O30" s="95">
        <v>185390.64</v>
      </c>
    </row>
    <row r="31" spans="1:15" x14ac:dyDescent="0.25">
      <c r="A31" s="214"/>
      <c r="B31" s="93" t="s">
        <v>87</v>
      </c>
      <c r="C31" s="94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95">
        <v>0</v>
      </c>
    </row>
    <row r="32" spans="1:15" x14ac:dyDescent="0.25">
      <c r="A32" s="214"/>
      <c r="B32" s="93" t="s">
        <v>89</v>
      </c>
      <c r="C32" s="94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95">
        <v>0</v>
      </c>
    </row>
    <row r="33" spans="1:15" x14ac:dyDescent="0.25">
      <c r="A33" s="83" t="s">
        <v>16</v>
      </c>
      <c r="B33" s="83" t="s">
        <v>70</v>
      </c>
      <c r="C33" s="90">
        <v>7000.08</v>
      </c>
      <c r="D33" s="91">
        <v>8750.1</v>
      </c>
      <c r="E33" s="91">
        <v>1750.02</v>
      </c>
      <c r="F33" s="91">
        <v>12250.14</v>
      </c>
      <c r="G33" s="91">
        <v>5250.0599999999995</v>
      </c>
      <c r="H33" s="91">
        <v>12250.14</v>
      </c>
      <c r="I33" s="91">
        <v>8750.1</v>
      </c>
      <c r="J33" s="91">
        <v>8750.1</v>
      </c>
      <c r="K33" s="91">
        <v>10500.119999999999</v>
      </c>
      <c r="L33" s="91">
        <v>8750.1</v>
      </c>
      <c r="M33" s="91">
        <v>7000.08</v>
      </c>
      <c r="N33" s="91">
        <v>7000.08</v>
      </c>
      <c r="O33" s="92">
        <v>98001.12000000001</v>
      </c>
    </row>
    <row r="34" spans="1:15" ht="13" x14ac:dyDescent="0.3">
      <c r="A34" s="214"/>
      <c r="B34" s="93" t="s">
        <v>25</v>
      </c>
      <c r="C34" s="250">
        <v>133.76000000000022</v>
      </c>
      <c r="D34" s="251">
        <v>167.20000000000073</v>
      </c>
      <c r="E34" s="251">
        <v>33.440000000000055</v>
      </c>
      <c r="F34" s="251">
        <v>234.07999999999993</v>
      </c>
      <c r="G34" s="251">
        <v>100.31999999999971</v>
      </c>
      <c r="H34" s="251">
        <v>234.07999999999993</v>
      </c>
      <c r="I34" s="251">
        <v>167.20000000000073</v>
      </c>
      <c r="J34" s="251">
        <v>167.20000000000073</v>
      </c>
      <c r="K34" s="251">
        <v>200.63999999999942</v>
      </c>
      <c r="L34" s="251">
        <v>167.20000000000073</v>
      </c>
      <c r="M34" s="251">
        <v>133.76000000000022</v>
      </c>
      <c r="N34" s="251">
        <v>133.76000000000022</v>
      </c>
      <c r="O34" s="252">
        <v>1872.6400000000026</v>
      </c>
    </row>
    <row r="35" spans="1:15" ht="13" x14ac:dyDescent="0.3">
      <c r="A35" s="214"/>
      <c r="B35" s="93" t="s">
        <v>26</v>
      </c>
      <c r="C35" s="250">
        <v>10.962899036545695</v>
      </c>
      <c r="D35" s="251">
        <v>13.70362379568212</v>
      </c>
      <c r="E35" s="251">
        <v>2.7407247591364237</v>
      </c>
      <c r="F35" s="251">
        <v>19.185073313954966</v>
      </c>
      <c r="G35" s="251">
        <v>8.2221742774092714</v>
      </c>
      <c r="H35" s="251">
        <v>19.185073313954966</v>
      </c>
      <c r="I35" s="251">
        <v>13.70362379568212</v>
      </c>
      <c r="J35" s="251">
        <v>13.70362379568212</v>
      </c>
      <c r="K35" s="251">
        <v>16.444348554818543</v>
      </c>
      <c r="L35" s="251">
        <v>13.70362379568212</v>
      </c>
      <c r="M35" s="251">
        <v>10.962899036545695</v>
      </c>
      <c r="N35" s="251">
        <v>10.962899036545695</v>
      </c>
      <c r="O35" s="252">
        <v>153.48058651163976</v>
      </c>
    </row>
    <row r="36" spans="1:15" ht="13" x14ac:dyDescent="0.3">
      <c r="A36" s="214"/>
      <c r="B36" s="93" t="s">
        <v>27</v>
      </c>
      <c r="C36" s="250">
        <v>144.72289903654593</v>
      </c>
      <c r="D36" s="251">
        <v>180.90362379568285</v>
      </c>
      <c r="E36" s="251">
        <v>36.180724759136481</v>
      </c>
      <c r="F36" s="251">
        <v>253.2650733139549</v>
      </c>
      <c r="G36" s="251">
        <v>108.54217427740898</v>
      </c>
      <c r="H36" s="251">
        <v>253.2650733139549</v>
      </c>
      <c r="I36" s="251">
        <v>180.90362379568285</v>
      </c>
      <c r="J36" s="251">
        <v>180.90362379568285</v>
      </c>
      <c r="K36" s="251">
        <v>217.08434855481795</v>
      </c>
      <c r="L36" s="251">
        <v>180.90362379568285</v>
      </c>
      <c r="M36" s="251">
        <v>144.72289903654593</v>
      </c>
      <c r="N36" s="251">
        <v>144.72289903654593</v>
      </c>
      <c r="O36" s="252">
        <v>2026.1205865116426</v>
      </c>
    </row>
    <row r="37" spans="1:15" x14ac:dyDescent="0.25">
      <c r="A37" s="214"/>
      <c r="B37" s="93" t="s">
        <v>49</v>
      </c>
      <c r="C37" s="94">
        <v>6866.32</v>
      </c>
      <c r="D37" s="82">
        <v>8582.9</v>
      </c>
      <c r="E37" s="82">
        <v>1716.58</v>
      </c>
      <c r="F37" s="82">
        <v>12016.06</v>
      </c>
      <c r="G37" s="82">
        <v>5149.74</v>
      </c>
      <c r="H37" s="82">
        <v>12016.06</v>
      </c>
      <c r="I37" s="82">
        <v>8582.9</v>
      </c>
      <c r="J37" s="82">
        <v>8582.9</v>
      </c>
      <c r="K37" s="82">
        <v>10299.48</v>
      </c>
      <c r="L37" s="82">
        <v>8582.9</v>
      </c>
      <c r="M37" s="82">
        <v>6866.32</v>
      </c>
      <c r="N37" s="82">
        <v>6866.32</v>
      </c>
      <c r="O37" s="95">
        <v>96128.48000000001</v>
      </c>
    </row>
    <row r="38" spans="1:15" x14ac:dyDescent="0.25">
      <c r="A38" s="214"/>
      <c r="B38" s="93" t="s">
        <v>87</v>
      </c>
      <c r="C38" s="94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95">
        <v>0</v>
      </c>
    </row>
    <row r="39" spans="1:15" x14ac:dyDescent="0.25">
      <c r="A39" s="214"/>
      <c r="B39" s="93" t="s">
        <v>89</v>
      </c>
      <c r="C39" s="94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95">
        <v>0</v>
      </c>
    </row>
    <row r="40" spans="1:15" x14ac:dyDescent="0.25">
      <c r="A40" s="83" t="s">
        <v>19</v>
      </c>
      <c r="B40" s="83" t="s">
        <v>70</v>
      </c>
      <c r="C40" s="90">
        <v>110251.26</v>
      </c>
      <c r="D40" s="91">
        <v>110251.26</v>
      </c>
      <c r="E40" s="91">
        <v>117251.34</v>
      </c>
      <c r="F40" s="91">
        <v>108501.24</v>
      </c>
      <c r="G40" s="91">
        <v>89251.02</v>
      </c>
      <c r="H40" s="91">
        <v>117251.34</v>
      </c>
      <c r="I40" s="91">
        <v>115501.31999999999</v>
      </c>
      <c r="J40" s="91">
        <v>106751.22</v>
      </c>
      <c r="K40" s="91">
        <v>96251.1</v>
      </c>
      <c r="L40" s="91">
        <v>103251.18</v>
      </c>
      <c r="M40" s="91">
        <v>110251.26</v>
      </c>
      <c r="N40" s="91">
        <v>110251.26</v>
      </c>
      <c r="O40" s="92">
        <v>1295014.7999999998</v>
      </c>
    </row>
    <row r="41" spans="1:15" ht="13" x14ac:dyDescent="0.3">
      <c r="A41" s="214"/>
      <c r="B41" s="93" t="s">
        <v>25</v>
      </c>
      <c r="C41" s="250">
        <v>2106.7200000000012</v>
      </c>
      <c r="D41" s="251">
        <v>2106.7200000000012</v>
      </c>
      <c r="E41" s="251">
        <v>2240.4799999999959</v>
      </c>
      <c r="F41" s="251">
        <v>2073.2800000000134</v>
      </c>
      <c r="G41" s="251">
        <v>1705.4400000000023</v>
      </c>
      <c r="H41" s="251">
        <v>2240.4799999999959</v>
      </c>
      <c r="I41" s="251">
        <v>2207.0399999999936</v>
      </c>
      <c r="J41" s="251">
        <v>2039.8400000000111</v>
      </c>
      <c r="K41" s="251">
        <v>1839.2000000000116</v>
      </c>
      <c r="L41" s="251">
        <v>1972.9599999999919</v>
      </c>
      <c r="M41" s="251">
        <v>2106.7200000000012</v>
      </c>
      <c r="N41" s="251">
        <v>2106.7200000000012</v>
      </c>
      <c r="O41" s="252">
        <v>24745.60000000002</v>
      </c>
    </row>
    <row r="42" spans="1:15" ht="13" x14ac:dyDescent="0.3">
      <c r="A42" s="214"/>
      <c r="B42" s="93" t="s">
        <v>26</v>
      </c>
      <c r="C42" s="250">
        <v>172.66565982559467</v>
      </c>
      <c r="D42" s="251">
        <v>172.66565982559467</v>
      </c>
      <c r="E42" s="251">
        <v>183.62855886214041</v>
      </c>
      <c r="F42" s="251">
        <v>169.92493506645826</v>
      </c>
      <c r="G42" s="251">
        <v>139.77696271595761</v>
      </c>
      <c r="H42" s="251">
        <v>183.62855886214041</v>
      </c>
      <c r="I42" s="251">
        <v>180.88783410300397</v>
      </c>
      <c r="J42" s="251">
        <v>167.18421030732185</v>
      </c>
      <c r="K42" s="251">
        <v>150.73986175250332</v>
      </c>
      <c r="L42" s="251">
        <v>161.70276078904899</v>
      </c>
      <c r="M42" s="251">
        <v>172.66565982559467</v>
      </c>
      <c r="N42" s="251">
        <v>172.66565982559467</v>
      </c>
      <c r="O42" s="252">
        <v>2028.1363217609537</v>
      </c>
    </row>
    <row r="43" spans="1:15" ht="13" x14ac:dyDescent="0.3">
      <c r="A43" s="214"/>
      <c r="B43" s="93" t="s">
        <v>27</v>
      </c>
      <c r="C43" s="250">
        <v>2279.3856598255957</v>
      </c>
      <c r="D43" s="251">
        <v>2279.3856598255957</v>
      </c>
      <c r="E43" s="251">
        <v>2424.1085588621363</v>
      </c>
      <c r="F43" s="251">
        <v>2243.2049350664715</v>
      </c>
      <c r="G43" s="251">
        <v>1845.2169627159599</v>
      </c>
      <c r="H43" s="251">
        <v>2424.1085588621363</v>
      </c>
      <c r="I43" s="251">
        <v>2387.9278341029976</v>
      </c>
      <c r="J43" s="251">
        <v>2207.0242103073329</v>
      </c>
      <c r="K43" s="251">
        <v>1989.9398617525148</v>
      </c>
      <c r="L43" s="251">
        <v>2134.6627607890409</v>
      </c>
      <c r="M43" s="251">
        <v>2279.3856598255957</v>
      </c>
      <c r="N43" s="251">
        <v>2279.3856598255957</v>
      </c>
      <c r="O43" s="252">
        <v>26773.736321760971</v>
      </c>
    </row>
    <row r="44" spans="1:15" x14ac:dyDescent="0.25">
      <c r="A44" s="214"/>
      <c r="B44" s="93" t="s">
        <v>49</v>
      </c>
      <c r="C44" s="94">
        <v>108144.54</v>
      </c>
      <c r="D44" s="82">
        <v>108144.54</v>
      </c>
      <c r="E44" s="82">
        <v>115010.86</v>
      </c>
      <c r="F44" s="82">
        <v>106427.95999999999</v>
      </c>
      <c r="G44" s="82">
        <v>87545.58</v>
      </c>
      <c r="H44" s="82">
        <v>115010.86</v>
      </c>
      <c r="I44" s="82">
        <v>113294.28</v>
      </c>
      <c r="J44" s="82">
        <v>104711.37999999999</v>
      </c>
      <c r="K44" s="82">
        <v>94411.9</v>
      </c>
      <c r="L44" s="82">
        <v>101278.22</v>
      </c>
      <c r="M44" s="82">
        <v>108144.54</v>
      </c>
      <c r="N44" s="82">
        <v>108144.54</v>
      </c>
      <c r="O44" s="95">
        <v>1270269.2000000002</v>
      </c>
    </row>
    <row r="45" spans="1:15" x14ac:dyDescent="0.25">
      <c r="A45" s="214"/>
      <c r="B45" s="93" t="s">
        <v>87</v>
      </c>
      <c r="C45" s="94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95">
        <v>0</v>
      </c>
    </row>
    <row r="46" spans="1:15" x14ac:dyDescent="0.25">
      <c r="A46" s="214"/>
      <c r="B46" s="93" t="s">
        <v>89</v>
      </c>
      <c r="C46" s="94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95">
        <v>0</v>
      </c>
    </row>
    <row r="47" spans="1:15" x14ac:dyDescent="0.25">
      <c r="A47" s="83" t="s">
        <v>8</v>
      </c>
      <c r="B47" s="83" t="s">
        <v>70</v>
      </c>
      <c r="C47" s="90">
        <v>147001.68</v>
      </c>
      <c r="D47" s="91">
        <v>145251.66</v>
      </c>
      <c r="E47" s="91">
        <v>133001.51999999999</v>
      </c>
      <c r="F47" s="91">
        <v>120751.38</v>
      </c>
      <c r="G47" s="91">
        <v>173251.98</v>
      </c>
      <c r="H47" s="91">
        <v>260752.98</v>
      </c>
      <c r="I47" s="91">
        <v>259002.96</v>
      </c>
      <c r="J47" s="91">
        <v>280003.20000000001</v>
      </c>
      <c r="K47" s="91">
        <v>271253.09999999998</v>
      </c>
      <c r="L47" s="91">
        <v>192502.2</v>
      </c>
      <c r="M47" s="91">
        <v>122501.4</v>
      </c>
      <c r="N47" s="91">
        <v>115501.31999999999</v>
      </c>
      <c r="O47" s="92">
        <v>2220775.38</v>
      </c>
    </row>
    <row r="48" spans="1:15" ht="13" x14ac:dyDescent="0.3">
      <c r="A48" s="214"/>
      <c r="B48" s="93" t="s">
        <v>25</v>
      </c>
      <c r="C48" s="250">
        <v>2808.9599999999919</v>
      </c>
      <c r="D48" s="251">
        <v>2775.5200000000186</v>
      </c>
      <c r="E48" s="251">
        <v>2541.4400000000023</v>
      </c>
      <c r="F48" s="251">
        <v>2307.3600000000151</v>
      </c>
      <c r="G48" s="251">
        <v>3310.5600000000268</v>
      </c>
      <c r="H48" s="251">
        <v>4982.5600000000268</v>
      </c>
      <c r="I48" s="251">
        <v>4949.1199999999953</v>
      </c>
      <c r="J48" s="251">
        <v>5350.4000000000233</v>
      </c>
      <c r="K48" s="251">
        <v>5183.2000000000116</v>
      </c>
      <c r="L48" s="251">
        <v>3678.4000000000233</v>
      </c>
      <c r="M48" s="251">
        <v>2340.8000000000029</v>
      </c>
      <c r="N48" s="251">
        <v>2207.0399999999936</v>
      </c>
      <c r="O48" s="252">
        <v>42435.360000000132</v>
      </c>
    </row>
    <row r="49" spans="1:15" ht="13" x14ac:dyDescent="0.3">
      <c r="A49" s="214"/>
      <c r="B49" s="93" t="s">
        <v>26</v>
      </c>
      <c r="C49" s="250">
        <v>230.22087976745959</v>
      </c>
      <c r="D49" s="251">
        <v>227.48015500832315</v>
      </c>
      <c r="E49" s="251">
        <v>208.29508169436821</v>
      </c>
      <c r="F49" s="251">
        <v>189.11000838041323</v>
      </c>
      <c r="G49" s="251">
        <v>271.33175115450598</v>
      </c>
      <c r="H49" s="251">
        <v>408.36798911132712</v>
      </c>
      <c r="I49" s="251">
        <v>405.62726435219071</v>
      </c>
      <c r="J49" s="251">
        <v>438.51596146182783</v>
      </c>
      <c r="K49" s="251">
        <v>424.81233766614565</v>
      </c>
      <c r="L49" s="251">
        <v>301.47972350500663</v>
      </c>
      <c r="M49" s="251">
        <v>191.85073313954965</v>
      </c>
      <c r="N49" s="251">
        <v>180.88783410300397</v>
      </c>
      <c r="O49" s="252">
        <v>3477.9797193441218</v>
      </c>
    </row>
    <row r="50" spans="1:15" ht="13" x14ac:dyDescent="0.3">
      <c r="A50" s="214"/>
      <c r="B50" s="93" t="s">
        <v>27</v>
      </c>
      <c r="C50" s="250">
        <v>3039.1808797674516</v>
      </c>
      <c r="D50" s="251">
        <v>3003.0001550083416</v>
      </c>
      <c r="E50" s="251">
        <v>2749.7350816943704</v>
      </c>
      <c r="F50" s="251">
        <v>2496.4700083804282</v>
      </c>
      <c r="G50" s="251">
        <v>3581.8917511545328</v>
      </c>
      <c r="H50" s="251">
        <v>5390.9279891113538</v>
      </c>
      <c r="I50" s="251">
        <v>5354.747264352186</v>
      </c>
      <c r="J50" s="251">
        <v>5788.9159614618511</v>
      </c>
      <c r="K50" s="251">
        <v>5608.0123376661577</v>
      </c>
      <c r="L50" s="251">
        <v>3979.8797235050297</v>
      </c>
      <c r="M50" s="251">
        <v>2532.6507331395524</v>
      </c>
      <c r="N50" s="251">
        <v>2387.9278341029976</v>
      </c>
      <c r="O50" s="252">
        <v>45913.339719344265</v>
      </c>
    </row>
    <row r="51" spans="1:15" x14ac:dyDescent="0.25">
      <c r="A51" s="214"/>
      <c r="B51" s="93" t="s">
        <v>49</v>
      </c>
      <c r="C51" s="94">
        <v>144192.72</v>
      </c>
      <c r="D51" s="82">
        <v>142476.13999999998</v>
      </c>
      <c r="E51" s="82">
        <v>130460.07999999999</v>
      </c>
      <c r="F51" s="82">
        <v>118444.01999999999</v>
      </c>
      <c r="G51" s="82">
        <v>169941.41999999998</v>
      </c>
      <c r="H51" s="82">
        <v>255770.41999999998</v>
      </c>
      <c r="I51" s="82">
        <v>254053.84</v>
      </c>
      <c r="J51" s="82">
        <v>274652.79999999999</v>
      </c>
      <c r="K51" s="82">
        <v>266069.89999999997</v>
      </c>
      <c r="L51" s="82">
        <v>188823.8</v>
      </c>
      <c r="M51" s="82">
        <v>120160.59999999999</v>
      </c>
      <c r="N51" s="82">
        <v>113294.28</v>
      </c>
      <c r="O51" s="95">
        <v>2178340.02</v>
      </c>
    </row>
    <row r="52" spans="1:15" x14ac:dyDescent="0.25">
      <c r="A52" s="214"/>
      <c r="B52" s="93" t="s">
        <v>87</v>
      </c>
      <c r="C52" s="94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95">
        <v>0</v>
      </c>
    </row>
    <row r="53" spans="1:15" x14ac:dyDescent="0.25">
      <c r="A53" s="214"/>
      <c r="B53" s="93" t="s">
        <v>89</v>
      </c>
      <c r="C53" s="94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95">
        <v>0</v>
      </c>
    </row>
    <row r="54" spans="1:15" x14ac:dyDescent="0.25">
      <c r="A54" s="83" t="s">
        <v>21</v>
      </c>
      <c r="B54" s="83" t="s">
        <v>70</v>
      </c>
      <c r="C54" s="90">
        <v>4917556.2</v>
      </c>
      <c r="D54" s="91">
        <v>4849305.42</v>
      </c>
      <c r="E54" s="91">
        <v>4180797.78</v>
      </c>
      <c r="F54" s="91">
        <v>4186047.84</v>
      </c>
      <c r="G54" s="91">
        <v>5654314.6200000001</v>
      </c>
      <c r="H54" s="91">
        <v>7175082</v>
      </c>
      <c r="I54" s="91">
        <v>6979079.7599999998</v>
      </c>
      <c r="J54" s="91">
        <v>7463835.2999999998</v>
      </c>
      <c r="K54" s="91">
        <v>7028080.3200000003</v>
      </c>
      <c r="L54" s="91">
        <v>5433812.0999999996</v>
      </c>
      <c r="M54" s="91">
        <v>4397800.26</v>
      </c>
      <c r="N54" s="91">
        <v>4329549.4799999995</v>
      </c>
      <c r="O54" s="92">
        <v>66595261.079999998</v>
      </c>
    </row>
    <row r="55" spans="1:15" ht="13" x14ac:dyDescent="0.3">
      <c r="A55" s="214"/>
      <c r="B55" s="93" t="s">
        <v>25</v>
      </c>
      <c r="C55" s="250">
        <v>93966.400000000373</v>
      </c>
      <c r="D55" s="251">
        <v>92662.240000000224</v>
      </c>
      <c r="E55" s="251">
        <v>79888.160000000149</v>
      </c>
      <c r="F55" s="251">
        <v>79988.479999999981</v>
      </c>
      <c r="G55" s="251">
        <v>108044.6400000006</v>
      </c>
      <c r="H55" s="251">
        <v>137104</v>
      </c>
      <c r="I55" s="251">
        <v>133358.71999999974</v>
      </c>
      <c r="J55" s="251">
        <v>142621.60000000056</v>
      </c>
      <c r="K55" s="251">
        <v>134295.04000000097</v>
      </c>
      <c r="L55" s="251">
        <v>103831.20000000019</v>
      </c>
      <c r="M55" s="251">
        <v>84034.719999999739</v>
      </c>
      <c r="N55" s="251">
        <v>82730.55999999959</v>
      </c>
      <c r="O55" s="252">
        <v>1272525.7600000021</v>
      </c>
    </row>
    <row r="56" spans="1:15" ht="13" x14ac:dyDescent="0.3">
      <c r="A56" s="214"/>
      <c r="B56" s="93" t="s">
        <v>26</v>
      </c>
      <c r="C56" s="250">
        <v>7701.4365731733506</v>
      </c>
      <c r="D56" s="251">
        <v>7594.54830756703</v>
      </c>
      <c r="E56" s="251">
        <v>6547.5914495769166</v>
      </c>
      <c r="F56" s="251">
        <v>6555.8136238543257</v>
      </c>
      <c r="G56" s="251">
        <v>8855.2816967697854</v>
      </c>
      <c r="H56" s="251">
        <v>11236.971512459337</v>
      </c>
      <c r="I56" s="251">
        <v>10930.010339436058</v>
      </c>
      <c r="J56" s="251">
        <v>11689.191097716846</v>
      </c>
      <c r="K56" s="251">
        <v>11006.750632691879</v>
      </c>
      <c r="L56" s="251">
        <v>8509.9503771185955</v>
      </c>
      <c r="M56" s="251">
        <v>6887.4413197098329</v>
      </c>
      <c r="N56" s="251">
        <v>6780.5530541035123</v>
      </c>
      <c r="O56" s="252">
        <v>104295.53998417748</v>
      </c>
    </row>
    <row r="57" spans="1:15" ht="13" x14ac:dyDescent="0.3">
      <c r="A57" s="214"/>
      <c r="B57" s="93" t="s">
        <v>27</v>
      </c>
      <c r="C57" s="250">
        <v>101667.83657317373</v>
      </c>
      <c r="D57" s="251">
        <v>100256.78830756726</v>
      </c>
      <c r="E57" s="251">
        <v>86435.751449577059</v>
      </c>
      <c r="F57" s="251">
        <v>86544.293623854304</v>
      </c>
      <c r="G57" s="251">
        <v>116899.92169677038</v>
      </c>
      <c r="H57" s="251">
        <v>148340.97151245933</v>
      </c>
      <c r="I57" s="251">
        <v>144288.7303394358</v>
      </c>
      <c r="J57" s="251">
        <v>154310.79109771742</v>
      </c>
      <c r="K57" s="251">
        <v>145301.79063269284</v>
      </c>
      <c r="L57" s="251">
        <v>112341.15037711879</v>
      </c>
      <c r="M57" s="251">
        <v>90922.161319709572</v>
      </c>
      <c r="N57" s="251">
        <v>89511.113054103102</v>
      </c>
      <c r="O57" s="252">
        <v>1376821.2999841794</v>
      </c>
    </row>
    <row r="58" spans="1:15" x14ac:dyDescent="0.25">
      <c r="A58" s="214"/>
      <c r="B58" s="93" t="s">
        <v>49</v>
      </c>
      <c r="C58" s="94">
        <v>4823589.8</v>
      </c>
      <c r="D58" s="82">
        <v>4756643.18</v>
      </c>
      <c r="E58" s="82">
        <v>4100909.6199999996</v>
      </c>
      <c r="F58" s="82">
        <v>4106059.36</v>
      </c>
      <c r="G58" s="82">
        <v>5546269.9799999995</v>
      </c>
      <c r="H58" s="82">
        <v>7037978</v>
      </c>
      <c r="I58" s="82">
        <v>6845721.04</v>
      </c>
      <c r="J58" s="82">
        <v>7321213.6999999993</v>
      </c>
      <c r="K58" s="82">
        <v>6893785.2799999993</v>
      </c>
      <c r="L58" s="82">
        <v>5329980.8999999994</v>
      </c>
      <c r="M58" s="82">
        <v>4313765.54</v>
      </c>
      <c r="N58" s="82">
        <v>4246818.92</v>
      </c>
      <c r="O58" s="95">
        <v>65322735.320000008</v>
      </c>
    </row>
    <row r="59" spans="1:15" x14ac:dyDescent="0.25">
      <c r="A59" s="214"/>
      <c r="B59" s="93" t="s">
        <v>87</v>
      </c>
      <c r="C59" s="94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95">
        <v>0</v>
      </c>
    </row>
    <row r="60" spans="1:15" x14ac:dyDescent="0.25">
      <c r="A60" s="214"/>
      <c r="B60" s="93" t="s">
        <v>89</v>
      </c>
      <c r="C60" s="94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95">
        <v>0</v>
      </c>
    </row>
    <row r="61" spans="1:15" x14ac:dyDescent="0.25">
      <c r="A61" s="83" t="s">
        <v>22</v>
      </c>
      <c r="B61" s="83" t="s">
        <v>70</v>
      </c>
      <c r="C61" s="90">
        <v>4767054.4799999995</v>
      </c>
      <c r="D61" s="91">
        <v>4824805.1399999997</v>
      </c>
      <c r="E61" s="91">
        <v>4621802.82</v>
      </c>
      <c r="F61" s="91">
        <v>4229798.34</v>
      </c>
      <c r="G61" s="91">
        <v>4977056.88</v>
      </c>
      <c r="H61" s="91">
        <v>6125070</v>
      </c>
      <c r="I61" s="91">
        <v>6245821.3799999999</v>
      </c>
      <c r="J61" s="91">
        <v>6590575.3200000003</v>
      </c>
      <c r="K61" s="91">
        <v>6048069.1200000001</v>
      </c>
      <c r="L61" s="91">
        <v>4917556.2</v>
      </c>
      <c r="M61" s="91">
        <v>4373299.9799999995</v>
      </c>
      <c r="N61" s="91">
        <v>4431050.6399999997</v>
      </c>
      <c r="O61" s="92">
        <v>62151960.299999997</v>
      </c>
    </row>
    <row r="62" spans="1:15" ht="13" x14ac:dyDescent="0.3">
      <c r="A62" s="214"/>
      <c r="B62" s="93" t="s">
        <v>25</v>
      </c>
      <c r="C62" s="250">
        <v>91090.55999999959</v>
      </c>
      <c r="D62" s="251">
        <v>92194.080000000075</v>
      </c>
      <c r="E62" s="251">
        <v>88315.040000000037</v>
      </c>
      <c r="F62" s="251">
        <v>80824.479999999981</v>
      </c>
      <c r="G62" s="251">
        <v>95103.360000000335</v>
      </c>
      <c r="H62" s="251">
        <v>117040</v>
      </c>
      <c r="I62" s="251">
        <v>119347.36000000034</v>
      </c>
      <c r="J62" s="251">
        <v>125935.04000000097</v>
      </c>
      <c r="K62" s="251">
        <v>115568.6400000006</v>
      </c>
      <c r="L62" s="251">
        <v>93966.400000000373</v>
      </c>
      <c r="M62" s="251">
        <v>83566.55999999959</v>
      </c>
      <c r="N62" s="251">
        <v>84670.080000000075</v>
      </c>
      <c r="O62" s="252">
        <v>1187621.600000002</v>
      </c>
    </row>
    <row r="63" spans="1:15" ht="13" x14ac:dyDescent="0.3">
      <c r="A63" s="214"/>
      <c r="B63" s="93" t="s">
        <v>26</v>
      </c>
      <c r="C63" s="250">
        <v>7465.7342438876185</v>
      </c>
      <c r="D63" s="251">
        <v>7556.1781609391201</v>
      </c>
      <c r="E63" s="251">
        <v>7238.2540888792955</v>
      </c>
      <c r="F63" s="251">
        <v>6624.3317428327355</v>
      </c>
      <c r="G63" s="251">
        <v>7794.6212149839885</v>
      </c>
      <c r="H63" s="251">
        <v>9592.5366569774833</v>
      </c>
      <c r="I63" s="251">
        <v>9781.6466653578973</v>
      </c>
      <c r="J63" s="251">
        <v>10321.56944290777</v>
      </c>
      <c r="K63" s="251">
        <v>9471.9447675754818</v>
      </c>
      <c r="L63" s="251">
        <v>7701.4365731733506</v>
      </c>
      <c r="M63" s="251">
        <v>6849.071173081923</v>
      </c>
      <c r="N63" s="251">
        <v>6939.5150901334246</v>
      </c>
      <c r="O63" s="252">
        <v>97336.839820730092</v>
      </c>
    </row>
    <row r="64" spans="1:15" ht="13" x14ac:dyDescent="0.3">
      <c r="A64" s="214"/>
      <c r="B64" s="93" t="s">
        <v>27</v>
      </c>
      <c r="C64" s="250">
        <v>98556.294243887212</v>
      </c>
      <c r="D64" s="251">
        <v>99750.258160939193</v>
      </c>
      <c r="E64" s="251">
        <v>95553.294088879338</v>
      </c>
      <c r="F64" s="251">
        <v>87448.81174283271</v>
      </c>
      <c r="G64" s="251">
        <v>102897.98121498432</v>
      </c>
      <c r="H64" s="251">
        <v>126632.53665697748</v>
      </c>
      <c r="I64" s="251">
        <v>129129.00666535823</v>
      </c>
      <c r="J64" s="251">
        <v>136256.60944290872</v>
      </c>
      <c r="K64" s="251">
        <v>125040.58476757607</v>
      </c>
      <c r="L64" s="251">
        <v>101667.83657317373</v>
      </c>
      <c r="M64" s="251">
        <v>90415.631173081507</v>
      </c>
      <c r="N64" s="251">
        <v>91609.595090133502</v>
      </c>
      <c r="O64" s="252">
        <v>1284958.439820732</v>
      </c>
    </row>
    <row r="65" spans="1:15" x14ac:dyDescent="0.25">
      <c r="A65" s="214"/>
      <c r="B65" s="93" t="s">
        <v>49</v>
      </c>
      <c r="C65" s="94">
        <v>4675963.92</v>
      </c>
      <c r="D65" s="82">
        <v>4732611.0599999996</v>
      </c>
      <c r="E65" s="82">
        <v>4533487.78</v>
      </c>
      <c r="F65" s="82">
        <v>4148973.86</v>
      </c>
      <c r="G65" s="82">
        <v>4881953.5199999996</v>
      </c>
      <c r="H65" s="82">
        <v>6008030</v>
      </c>
      <c r="I65" s="82">
        <v>6126474.0199999996</v>
      </c>
      <c r="J65" s="82">
        <v>6464640.2799999993</v>
      </c>
      <c r="K65" s="82">
        <v>5932500.4799999995</v>
      </c>
      <c r="L65" s="82">
        <v>4823589.8</v>
      </c>
      <c r="M65" s="82">
        <v>4289733.42</v>
      </c>
      <c r="N65" s="82">
        <v>4346380.5599999996</v>
      </c>
      <c r="O65" s="95">
        <v>60964338.699999996</v>
      </c>
    </row>
    <row r="66" spans="1:15" x14ac:dyDescent="0.25">
      <c r="A66" s="214"/>
      <c r="B66" s="93" t="s">
        <v>87</v>
      </c>
      <c r="C66" s="94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95">
        <v>0</v>
      </c>
    </row>
    <row r="67" spans="1:15" x14ac:dyDescent="0.25">
      <c r="A67" s="214"/>
      <c r="B67" s="93" t="s">
        <v>89</v>
      </c>
      <c r="C67" s="94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95">
        <v>0</v>
      </c>
    </row>
    <row r="68" spans="1:15" x14ac:dyDescent="0.25">
      <c r="A68" s="83" t="s">
        <v>9</v>
      </c>
      <c r="B68" s="83" t="s">
        <v>70</v>
      </c>
      <c r="C68" s="90">
        <v>92751.06</v>
      </c>
      <c r="D68" s="91">
        <v>96251.1</v>
      </c>
      <c r="E68" s="91">
        <v>80500.92</v>
      </c>
      <c r="F68" s="91">
        <v>57750.659999999996</v>
      </c>
      <c r="G68" s="91">
        <v>77000.88</v>
      </c>
      <c r="H68" s="91">
        <v>96251.1</v>
      </c>
      <c r="I68" s="91">
        <v>99751.14</v>
      </c>
      <c r="J68" s="91">
        <v>98001.12</v>
      </c>
      <c r="K68" s="91">
        <v>105001.2</v>
      </c>
      <c r="L68" s="91">
        <v>84000.959999999992</v>
      </c>
      <c r="M68" s="91">
        <v>94501.08</v>
      </c>
      <c r="N68" s="91">
        <v>96251.1</v>
      </c>
      <c r="O68" s="92">
        <v>1078012.3199999998</v>
      </c>
    </row>
    <row r="69" spans="1:15" ht="13" x14ac:dyDescent="0.3">
      <c r="A69" s="214"/>
      <c r="B69" s="93" t="s">
        <v>25</v>
      </c>
      <c r="C69" s="250">
        <v>1772.320000000007</v>
      </c>
      <c r="D69" s="251">
        <v>1839.2000000000116</v>
      </c>
      <c r="E69" s="251">
        <v>1538.2400000000052</v>
      </c>
      <c r="F69" s="251">
        <v>1103.5199999999968</v>
      </c>
      <c r="G69" s="251">
        <v>1471.3600000000151</v>
      </c>
      <c r="H69" s="251">
        <v>1839.2000000000116</v>
      </c>
      <c r="I69" s="251">
        <v>1906.0800000000017</v>
      </c>
      <c r="J69" s="251">
        <v>1872.6399999999994</v>
      </c>
      <c r="K69" s="251">
        <v>2006.4000000000087</v>
      </c>
      <c r="L69" s="251">
        <v>1605.1199999999953</v>
      </c>
      <c r="M69" s="251">
        <v>1805.7600000000093</v>
      </c>
      <c r="N69" s="251">
        <v>1839.2000000000116</v>
      </c>
      <c r="O69" s="252">
        <v>20599.040000000074</v>
      </c>
    </row>
    <row r="70" spans="1:15" ht="13" x14ac:dyDescent="0.3">
      <c r="A70" s="214"/>
      <c r="B70" s="93" t="s">
        <v>26</v>
      </c>
      <c r="C70" s="250">
        <v>145.25841223423046</v>
      </c>
      <c r="D70" s="251">
        <v>150.73986175250332</v>
      </c>
      <c r="E70" s="251">
        <v>126.07333892027549</v>
      </c>
      <c r="F70" s="251">
        <v>90.443917051501984</v>
      </c>
      <c r="G70" s="251">
        <v>120.59188940200265</v>
      </c>
      <c r="H70" s="251">
        <v>150.73986175250332</v>
      </c>
      <c r="I70" s="251">
        <v>156.22131127077614</v>
      </c>
      <c r="J70" s="251">
        <v>153.48058651163973</v>
      </c>
      <c r="K70" s="251">
        <v>164.44348554818541</v>
      </c>
      <c r="L70" s="251">
        <v>131.55478843854834</v>
      </c>
      <c r="M70" s="251">
        <v>147.9991369933669</v>
      </c>
      <c r="N70" s="251">
        <v>150.73986175250332</v>
      </c>
      <c r="O70" s="252">
        <v>1688.286451628037</v>
      </c>
    </row>
    <row r="71" spans="1:15" ht="13" x14ac:dyDescent="0.3">
      <c r="A71" s="214"/>
      <c r="B71" s="93" t="s">
        <v>27</v>
      </c>
      <c r="C71" s="250">
        <v>1917.5784122342375</v>
      </c>
      <c r="D71" s="251">
        <v>1989.9398617525148</v>
      </c>
      <c r="E71" s="251">
        <v>1664.3133389202808</v>
      </c>
      <c r="F71" s="251">
        <v>1193.9639170514988</v>
      </c>
      <c r="G71" s="251">
        <v>1591.9518894020177</v>
      </c>
      <c r="H71" s="251">
        <v>1989.9398617525148</v>
      </c>
      <c r="I71" s="251">
        <v>2062.3013112707777</v>
      </c>
      <c r="J71" s="251">
        <v>2026.1205865116392</v>
      </c>
      <c r="K71" s="251">
        <v>2170.8434855481942</v>
      </c>
      <c r="L71" s="251">
        <v>1736.6747884385436</v>
      </c>
      <c r="M71" s="251">
        <v>1953.7591369933762</v>
      </c>
      <c r="N71" s="251">
        <v>1989.9398617525148</v>
      </c>
      <c r="O71" s="252">
        <v>22287.326451628112</v>
      </c>
    </row>
    <row r="72" spans="1:15" x14ac:dyDescent="0.25">
      <c r="A72" s="214"/>
      <c r="B72" s="93" t="s">
        <v>49</v>
      </c>
      <c r="C72" s="94">
        <v>90978.739999999991</v>
      </c>
      <c r="D72" s="82">
        <v>94411.9</v>
      </c>
      <c r="E72" s="82">
        <v>78962.679999999993</v>
      </c>
      <c r="F72" s="82">
        <v>56647.14</v>
      </c>
      <c r="G72" s="82">
        <v>75529.51999999999</v>
      </c>
      <c r="H72" s="82">
        <v>94411.9</v>
      </c>
      <c r="I72" s="82">
        <v>97845.06</v>
      </c>
      <c r="J72" s="82">
        <v>96128.48</v>
      </c>
      <c r="K72" s="82">
        <v>102994.79999999999</v>
      </c>
      <c r="L72" s="82">
        <v>82395.839999999997</v>
      </c>
      <c r="M72" s="82">
        <v>92695.319999999992</v>
      </c>
      <c r="N72" s="82">
        <v>94411.9</v>
      </c>
      <c r="O72" s="95">
        <v>1057413.2799999998</v>
      </c>
    </row>
    <row r="73" spans="1:15" x14ac:dyDescent="0.25">
      <c r="A73" s="214"/>
      <c r="B73" s="93" t="s">
        <v>87</v>
      </c>
      <c r="C73" s="94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95">
        <v>0</v>
      </c>
    </row>
    <row r="74" spans="1:15" x14ac:dyDescent="0.25">
      <c r="A74" s="214"/>
      <c r="B74" s="93" t="s">
        <v>89</v>
      </c>
      <c r="C74" s="94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95">
        <v>0</v>
      </c>
    </row>
    <row r="75" spans="1:15" x14ac:dyDescent="0.25">
      <c r="A75" s="83" t="s">
        <v>54</v>
      </c>
      <c r="B75" s="83" t="s">
        <v>70</v>
      </c>
      <c r="C75" s="90">
        <v>197752.26</v>
      </c>
      <c r="D75" s="91">
        <v>189002.16</v>
      </c>
      <c r="E75" s="91">
        <v>168001.91999999998</v>
      </c>
      <c r="F75" s="91">
        <v>159251.82</v>
      </c>
      <c r="G75" s="91">
        <v>218752.5</v>
      </c>
      <c r="H75" s="91">
        <v>292253.34000000003</v>
      </c>
      <c r="I75" s="91">
        <v>280003.20000000001</v>
      </c>
      <c r="J75" s="91">
        <v>316753.62</v>
      </c>
      <c r="K75" s="91">
        <v>274753.14</v>
      </c>
      <c r="L75" s="91">
        <v>206502.36</v>
      </c>
      <c r="M75" s="91">
        <v>178502.04</v>
      </c>
      <c r="N75" s="91">
        <v>173251.98</v>
      </c>
      <c r="O75" s="92">
        <v>2654780.3400000003</v>
      </c>
    </row>
    <row r="76" spans="1:15" x14ac:dyDescent="0.25">
      <c r="A76" s="214"/>
      <c r="B76" s="93" t="s">
        <v>25</v>
      </c>
      <c r="C76" s="94">
        <v>3778.7200000000303</v>
      </c>
      <c r="D76" s="82">
        <v>3611.5200000000186</v>
      </c>
      <c r="E76" s="82">
        <v>3210.2399999999907</v>
      </c>
      <c r="F76" s="82">
        <v>3043.0400000000081</v>
      </c>
      <c r="G76" s="82">
        <v>4180</v>
      </c>
      <c r="H76" s="82">
        <v>5584.4800000000396</v>
      </c>
      <c r="I76" s="82">
        <v>5350.4000000000233</v>
      </c>
      <c r="J76" s="82">
        <v>6052.640000000014</v>
      </c>
      <c r="K76" s="82">
        <v>5250.0800000000163</v>
      </c>
      <c r="L76" s="82">
        <v>3945.9199999999837</v>
      </c>
      <c r="M76" s="82">
        <v>3410.8800000000047</v>
      </c>
      <c r="N76" s="82">
        <v>3310.5600000000268</v>
      </c>
      <c r="O76" s="95">
        <v>50728.480000000156</v>
      </c>
    </row>
    <row r="77" spans="1:15" x14ac:dyDescent="0.25">
      <c r="A77" s="214"/>
      <c r="B77" s="93" t="s">
        <v>26</v>
      </c>
      <c r="C77" s="94">
        <v>309.70189778241587</v>
      </c>
      <c r="D77" s="82">
        <v>295.99827398673381</v>
      </c>
      <c r="E77" s="82">
        <v>263.10957687709669</v>
      </c>
      <c r="F77" s="82">
        <v>249.40595308141457</v>
      </c>
      <c r="G77" s="82">
        <v>342.59059489205299</v>
      </c>
      <c r="H77" s="82">
        <v>457.70103477578277</v>
      </c>
      <c r="I77" s="82">
        <v>438.51596146182783</v>
      </c>
      <c r="J77" s="82">
        <v>496.07118140369266</v>
      </c>
      <c r="K77" s="82">
        <v>430.29378718441853</v>
      </c>
      <c r="L77" s="82">
        <v>323.40552157809799</v>
      </c>
      <c r="M77" s="82">
        <v>279.55392543191522</v>
      </c>
      <c r="N77" s="82">
        <v>271.33175115450598</v>
      </c>
      <c r="O77" s="95">
        <v>4157.6794596099553</v>
      </c>
    </row>
    <row r="78" spans="1:15" x14ac:dyDescent="0.25">
      <c r="A78" s="214"/>
      <c r="B78" s="93" t="s">
        <v>27</v>
      </c>
      <c r="C78" s="94">
        <v>4088.4218977824462</v>
      </c>
      <c r="D78" s="82">
        <v>3907.5182739867523</v>
      </c>
      <c r="E78" s="82">
        <v>3473.3495768770872</v>
      </c>
      <c r="F78" s="82">
        <v>3292.4459530814229</v>
      </c>
      <c r="G78" s="82">
        <v>4522.5905948920526</v>
      </c>
      <c r="H78" s="82">
        <v>6042.1810347758219</v>
      </c>
      <c r="I78" s="82">
        <v>5788.9159614618511</v>
      </c>
      <c r="J78" s="82">
        <v>6548.7111814037071</v>
      </c>
      <c r="K78" s="82">
        <v>5680.3737871844351</v>
      </c>
      <c r="L78" s="82">
        <v>4269.3255215780819</v>
      </c>
      <c r="M78" s="82">
        <v>3690.4339254319198</v>
      </c>
      <c r="N78" s="82">
        <v>3581.8917511545328</v>
      </c>
      <c r="O78" s="95">
        <v>54886.159459610106</v>
      </c>
    </row>
    <row r="79" spans="1:15" x14ac:dyDescent="0.25">
      <c r="A79" s="214"/>
      <c r="B79" s="93" t="s">
        <v>49</v>
      </c>
      <c r="C79" s="94">
        <v>193973.53999999998</v>
      </c>
      <c r="D79" s="82">
        <v>185390.63999999998</v>
      </c>
      <c r="E79" s="82">
        <v>164791.67999999999</v>
      </c>
      <c r="F79" s="82">
        <v>156208.78</v>
      </c>
      <c r="G79" s="82">
        <v>214572.5</v>
      </c>
      <c r="H79" s="82">
        <v>286668.86</v>
      </c>
      <c r="I79" s="82">
        <v>274652.79999999999</v>
      </c>
      <c r="J79" s="82">
        <v>310700.98</v>
      </c>
      <c r="K79" s="82">
        <v>269503.06</v>
      </c>
      <c r="L79" s="82">
        <v>202556.44</v>
      </c>
      <c r="M79" s="82">
        <v>175091.16</v>
      </c>
      <c r="N79" s="82">
        <v>169941.41999999998</v>
      </c>
      <c r="O79" s="95">
        <v>2604051.8600000003</v>
      </c>
    </row>
    <row r="80" spans="1:15" x14ac:dyDescent="0.25">
      <c r="A80" s="214"/>
      <c r="B80" s="93" t="s">
        <v>87</v>
      </c>
      <c r="C80" s="94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95">
        <v>0</v>
      </c>
    </row>
    <row r="81" spans="1:15" x14ac:dyDescent="0.25">
      <c r="A81" s="214"/>
      <c r="B81" s="93" t="s">
        <v>89</v>
      </c>
      <c r="C81" s="94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95">
        <v>0</v>
      </c>
    </row>
    <row r="82" spans="1:15" x14ac:dyDescent="0.25">
      <c r="A82" s="83" t="s">
        <v>55</v>
      </c>
      <c r="B82" s="83" t="s">
        <v>70</v>
      </c>
      <c r="C82" s="90">
        <v>12250.14</v>
      </c>
      <c r="D82" s="91">
        <v>17500.2</v>
      </c>
      <c r="E82" s="91">
        <v>14000.16</v>
      </c>
      <c r="F82" s="91">
        <v>14000.16</v>
      </c>
      <c r="G82" s="91">
        <v>17500.2</v>
      </c>
      <c r="H82" s="91">
        <v>21000.239999999998</v>
      </c>
      <c r="I82" s="91">
        <v>24500.28</v>
      </c>
      <c r="J82" s="91">
        <v>22750.26</v>
      </c>
      <c r="K82" s="91">
        <v>22750.26</v>
      </c>
      <c r="L82" s="91">
        <v>19250.22</v>
      </c>
      <c r="M82" s="91">
        <v>12250.14</v>
      </c>
      <c r="N82" s="91">
        <v>14000.16</v>
      </c>
      <c r="O82" s="92">
        <v>211752.42</v>
      </c>
    </row>
    <row r="83" spans="1:15" x14ac:dyDescent="0.25">
      <c r="A83" s="214"/>
      <c r="B83" s="93" t="s">
        <v>25</v>
      </c>
      <c r="C83" s="94">
        <v>234.07999999999993</v>
      </c>
      <c r="D83" s="82">
        <v>334.40000000000146</v>
      </c>
      <c r="E83" s="82">
        <v>267.52000000000044</v>
      </c>
      <c r="F83" s="82">
        <v>267.52000000000044</v>
      </c>
      <c r="G83" s="82">
        <v>334.40000000000146</v>
      </c>
      <c r="H83" s="82">
        <v>401.27999999999884</v>
      </c>
      <c r="I83" s="82">
        <v>468.15999999999985</v>
      </c>
      <c r="J83" s="82">
        <v>434.71999999999753</v>
      </c>
      <c r="K83" s="82">
        <v>434.71999999999753</v>
      </c>
      <c r="L83" s="82">
        <v>367.84000000000378</v>
      </c>
      <c r="M83" s="82">
        <v>234.07999999999993</v>
      </c>
      <c r="N83" s="82">
        <v>267.52000000000044</v>
      </c>
      <c r="O83" s="95">
        <v>4046.2400000000016</v>
      </c>
    </row>
    <row r="84" spans="1:15" x14ac:dyDescent="0.25">
      <c r="A84" s="214"/>
      <c r="B84" s="93" t="s">
        <v>26</v>
      </c>
      <c r="C84" s="94">
        <v>19.185073313954966</v>
      </c>
      <c r="D84" s="82">
        <v>27.407247591364239</v>
      </c>
      <c r="E84" s="82">
        <v>21.925798073091389</v>
      </c>
      <c r="F84" s="82">
        <v>21.925798073091389</v>
      </c>
      <c r="G84" s="82">
        <v>27.407247591364239</v>
      </c>
      <c r="H84" s="82">
        <v>32.888697109637086</v>
      </c>
      <c r="I84" s="82">
        <v>38.370146627909932</v>
      </c>
      <c r="J84" s="82">
        <v>35.629421868773505</v>
      </c>
      <c r="K84" s="82">
        <v>35.629421868773505</v>
      </c>
      <c r="L84" s="82">
        <v>30.147972350500662</v>
      </c>
      <c r="M84" s="82">
        <v>19.185073313954966</v>
      </c>
      <c r="N84" s="82">
        <v>21.925798073091389</v>
      </c>
      <c r="O84" s="95">
        <v>331.62769585550728</v>
      </c>
    </row>
    <row r="85" spans="1:15" x14ac:dyDescent="0.25">
      <c r="A85" s="214"/>
      <c r="B85" s="93" t="s">
        <v>27</v>
      </c>
      <c r="C85" s="94">
        <v>253.2650733139549</v>
      </c>
      <c r="D85" s="82">
        <v>361.80724759136569</v>
      </c>
      <c r="E85" s="82">
        <v>289.44579807309185</v>
      </c>
      <c r="F85" s="82">
        <v>289.44579807309185</v>
      </c>
      <c r="G85" s="82">
        <v>361.80724759136569</v>
      </c>
      <c r="H85" s="82">
        <v>434.1686971096359</v>
      </c>
      <c r="I85" s="82">
        <v>506.5301466279098</v>
      </c>
      <c r="J85" s="82">
        <v>470.34942186877106</v>
      </c>
      <c r="K85" s="82">
        <v>470.34942186877106</v>
      </c>
      <c r="L85" s="82">
        <v>397.98797235050444</v>
      </c>
      <c r="M85" s="82">
        <v>253.2650733139549</v>
      </c>
      <c r="N85" s="82">
        <v>289.44579807309185</v>
      </c>
      <c r="O85" s="95">
        <v>4377.8676958555088</v>
      </c>
    </row>
    <row r="86" spans="1:15" x14ac:dyDescent="0.25">
      <c r="A86" s="214"/>
      <c r="B86" s="93" t="s">
        <v>49</v>
      </c>
      <c r="C86" s="94">
        <v>12016.06</v>
      </c>
      <c r="D86" s="82">
        <v>17165.8</v>
      </c>
      <c r="E86" s="82">
        <v>13732.64</v>
      </c>
      <c r="F86" s="82">
        <v>13732.64</v>
      </c>
      <c r="G86" s="82">
        <v>17165.8</v>
      </c>
      <c r="H86" s="82">
        <v>20598.96</v>
      </c>
      <c r="I86" s="82">
        <v>24032.12</v>
      </c>
      <c r="J86" s="82">
        <v>22315.54</v>
      </c>
      <c r="K86" s="82">
        <v>22315.54</v>
      </c>
      <c r="L86" s="82">
        <v>18882.379999999997</v>
      </c>
      <c r="M86" s="82">
        <v>12016.06</v>
      </c>
      <c r="N86" s="82">
        <v>13732.64</v>
      </c>
      <c r="O86" s="95">
        <v>207706.18</v>
      </c>
    </row>
    <row r="87" spans="1:15" x14ac:dyDescent="0.25">
      <c r="A87" s="214"/>
      <c r="B87" s="93" t="s">
        <v>87</v>
      </c>
      <c r="C87" s="94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95">
        <v>0</v>
      </c>
    </row>
    <row r="88" spans="1:15" x14ac:dyDescent="0.25">
      <c r="A88" s="214"/>
      <c r="B88" s="93" t="s">
        <v>89</v>
      </c>
      <c r="C88" s="94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95">
        <v>0</v>
      </c>
    </row>
    <row r="89" spans="1:15" x14ac:dyDescent="0.25">
      <c r="A89" s="83" t="s">
        <v>56</v>
      </c>
      <c r="B89" s="83" t="s">
        <v>70</v>
      </c>
      <c r="C89" s="90">
        <v>36750.42</v>
      </c>
      <c r="D89" s="91">
        <v>36750.42</v>
      </c>
      <c r="E89" s="91">
        <v>33250.379999999997</v>
      </c>
      <c r="F89" s="91">
        <v>36750.42</v>
      </c>
      <c r="G89" s="91">
        <v>49000.56</v>
      </c>
      <c r="H89" s="91">
        <v>64750.74</v>
      </c>
      <c r="I89" s="91">
        <v>66500.759999999995</v>
      </c>
      <c r="J89" s="91">
        <v>70000.800000000003</v>
      </c>
      <c r="K89" s="91">
        <v>64750.74</v>
      </c>
      <c r="L89" s="91">
        <v>52500.6</v>
      </c>
      <c r="M89" s="91">
        <v>33250.379999999997</v>
      </c>
      <c r="N89" s="91">
        <v>35000.400000000001</v>
      </c>
      <c r="O89" s="92">
        <v>579256.62</v>
      </c>
    </row>
    <row r="90" spans="1:15" x14ac:dyDescent="0.25">
      <c r="A90" s="214"/>
      <c r="B90" s="93" t="s">
        <v>25</v>
      </c>
      <c r="C90" s="94">
        <v>702.23999999999796</v>
      </c>
      <c r="D90" s="82">
        <v>702.23999999999796</v>
      </c>
      <c r="E90" s="82">
        <v>635.36000000000058</v>
      </c>
      <c r="F90" s="82">
        <v>702.23999999999796</v>
      </c>
      <c r="G90" s="82">
        <v>936.31999999999971</v>
      </c>
      <c r="H90" s="82">
        <v>1237.2799999999988</v>
      </c>
      <c r="I90" s="82">
        <v>1270.7200000000012</v>
      </c>
      <c r="J90" s="82">
        <v>1337.6000000000058</v>
      </c>
      <c r="K90" s="82">
        <v>1237.2799999999988</v>
      </c>
      <c r="L90" s="82">
        <v>1003.2000000000044</v>
      </c>
      <c r="M90" s="82">
        <v>635.36000000000058</v>
      </c>
      <c r="N90" s="82">
        <v>668.80000000000291</v>
      </c>
      <c r="O90" s="95">
        <v>11068.640000000007</v>
      </c>
    </row>
    <row r="91" spans="1:15" x14ac:dyDescent="0.25">
      <c r="A91" s="214"/>
      <c r="B91" s="93" t="s">
        <v>26</v>
      </c>
      <c r="C91" s="94">
        <v>57.555219941864898</v>
      </c>
      <c r="D91" s="82">
        <v>57.555219941864898</v>
      </c>
      <c r="E91" s="82">
        <v>52.073770423592052</v>
      </c>
      <c r="F91" s="82">
        <v>57.555219941864898</v>
      </c>
      <c r="G91" s="82">
        <v>76.740293255819864</v>
      </c>
      <c r="H91" s="82">
        <v>101.40681608804768</v>
      </c>
      <c r="I91" s="82">
        <v>104.1475408471841</v>
      </c>
      <c r="J91" s="82">
        <v>109.62899036545696</v>
      </c>
      <c r="K91" s="82">
        <v>101.40681608804768</v>
      </c>
      <c r="L91" s="82">
        <v>82.221742774092704</v>
      </c>
      <c r="M91" s="82">
        <v>52.073770423592052</v>
      </c>
      <c r="N91" s="82">
        <v>54.814495182728479</v>
      </c>
      <c r="O91" s="95">
        <v>907.17989527415625</v>
      </c>
    </row>
    <row r="92" spans="1:15" x14ac:dyDescent="0.25">
      <c r="A92" s="214"/>
      <c r="B92" s="93" t="s">
        <v>27</v>
      </c>
      <c r="C92" s="94">
        <v>759.79521994186291</v>
      </c>
      <c r="D92" s="82">
        <v>759.79521994186291</v>
      </c>
      <c r="E92" s="82">
        <v>687.43377042359259</v>
      </c>
      <c r="F92" s="82">
        <v>759.79521994186291</v>
      </c>
      <c r="G92" s="82">
        <v>1013.0602932558196</v>
      </c>
      <c r="H92" s="82">
        <v>1338.6868160880465</v>
      </c>
      <c r="I92" s="82">
        <v>1374.8675408471852</v>
      </c>
      <c r="J92" s="82">
        <v>1447.2289903654628</v>
      </c>
      <c r="K92" s="82">
        <v>1338.6868160880465</v>
      </c>
      <c r="L92" s="82">
        <v>1085.4217427740971</v>
      </c>
      <c r="M92" s="82">
        <v>687.43377042359259</v>
      </c>
      <c r="N92" s="82">
        <v>723.61449518273139</v>
      </c>
      <c r="O92" s="95">
        <v>11975.819895274164</v>
      </c>
    </row>
    <row r="93" spans="1:15" x14ac:dyDescent="0.25">
      <c r="A93" s="214"/>
      <c r="B93" s="93" t="s">
        <v>49</v>
      </c>
      <c r="C93" s="94">
        <v>36048.18</v>
      </c>
      <c r="D93" s="82">
        <v>36048.18</v>
      </c>
      <c r="E93" s="82">
        <v>32615.019999999997</v>
      </c>
      <c r="F93" s="82">
        <v>36048.18</v>
      </c>
      <c r="G93" s="82">
        <v>48064.24</v>
      </c>
      <c r="H93" s="82">
        <v>63513.46</v>
      </c>
      <c r="I93" s="82">
        <v>65230.039999999994</v>
      </c>
      <c r="J93" s="82">
        <v>68663.199999999997</v>
      </c>
      <c r="K93" s="82">
        <v>63513.46</v>
      </c>
      <c r="L93" s="82">
        <v>51497.399999999994</v>
      </c>
      <c r="M93" s="82">
        <v>32615.019999999997</v>
      </c>
      <c r="N93" s="82">
        <v>34331.599999999999</v>
      </c>
      <c r="O93" s="95">
        <v>568187.98</v>
      </c>
    </row>
    <row r="94" spans="1:15" x14ac:dyDescent="0.25">
      <c r="A94" s="214"/>
      <c r="B94" s="93" t="s">
        <v>87</v>
      </c>
      <c r="C94" s="94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82">
        <v>0</v>
      </c>
      <c r="L94" s="82">
        <v>0</v>
      </c>
      <c r="M94" s="82">
        <v>0</v>
      </c>
      <c r="N94" s="82">
        <v>0</v>
      </c>
      <c r="O94" s="95">
        <v>0</v>
      </c>
    </row>
    <row r="95" spans="1:15" x14ac:dyDescent="0.25">
      <c r="A95" s="214"/>
      <c r="B95" s="93" t="s">
        <v>89</v>
      </c>
      <c r="C95" s="94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95">
        <v>0</v>
      </c>
    </row>
    <row r="96" spans="1:15" x14ac:dyDescent="0.25">
      <c r="A96" s="83" t="s">
        <v>57</v>
      </c>
      <c r="B96" s="83" t="s">
        <v>70</v>
      </c>
      <c r="C96" s="90">
        <v>63000.72</v>
      </c>
      <c r="D96" s="91">
        <v>56000.639999999999</v>
      </c>
      <c r="E96" s="91">
        <v>56000.639999999999</v>
      </c>
      <c r="F96" s="91">
        <v>54250.62</v>
      </c>
      <c r="G96" s="91">
        <v>66500.759999999995</v>
      </c>
      <c r="H96" s="91">
        <v>84000.959999999992</v>
      </c>
      <c r="I96" s="91">
        <v>85750.98</v>
      </c>
      <c r="J96" s="91">
        <v>87501</v>
      </c>
      <c r="K96" s="91">
        <v>82250.94</v>
      </c>
      <c r="L96" s="91">
        <v>63000.72</v>
      </c>
      <c r="M96" s="91">
        <v>45500.52</v>
      </c>
      <c r="N96" s="91">
        <v>54250.62</v>
      </c>
      <c r="O96" s="92">
        <v>798009.12</v>
      </c>
    </row>
    <row r="97" spans="1:15" x14ac:dyDescent="0.25">
      <c r="A97" s="214"/>
      <c r="B97" s="93" t="s">
        <v>25</v>
      </c>
      <c r="C97" s="94">
        <v>1203.8400000000038</v>
      </c>
      <c r="D97" s="82">
        <v>1070.0800000000017</v>
      </c>
      <c r="E97" s="82">
        <v>1070.0800000000017</v>
      </c>
      <c r="F97" s="82">
        <v>1036.6400000000067</v>
      </c>
      <c r="G97" s="82">
        <v>1270.7200000000012</v>
      </c>
      <c r="H97" s="82">
        <v>1605.1199999999953</v>
      </c>
      <c r="I97" s="82">
        <v>1638.5599999999977</v>
      </c>
      <c r="J97" s="82">
        <v>1672</v>
      </c>
      <c r="K97" s="82">
        <v>1571.6800000000076</v>
      </c>
      <c r="L97" s="82">
        <v>1203.8400000000038</v>
      </c>
      <c r="M97" s="82">
        <v>869.43999999999505</v>
      </c>
      <c r="N97" s="82">
        <v>1036.6400000000067</v>
      </c>
      <c r="O97" s="95">
        <v>15248.640000000021</v>
      </c>
    </row>
    <row r="98" spans="1:15" x14ac:dyDescent="0.25">
      <c r="A98" s="214"/>
      <c r="B98" s="93" t="s">
        <v>26</v>
      </c>
      <c r="C98" s="94">
        <v>98.66609132891125</v>
      </c>
      <c r="D98" s="82">
        <v>87.703192292365557</v>
      </c>
      <c r="E98" s="82">
        <v>87.703192292365557</v>
      </c>
      <c r="F98" s="82">
        <v>84.96246753322913</v>
      </c>
      <c r="G98" s="82">
        <v>104.1475408471841</v>
      </c>
      <c r="H98" s="82">
        <v>131.55478843854834</v>
      </c>
      <c r="I98" s="82">
        <v>134.29551319768476</v>
      </c>
      <c r="J98" s="82">
        <v>137.03623795682117</v>
      </c>
      <c r="K98" s="82">
        <v>128.8140636794119</v>
      </c>
      <c r="L98" s="82">
        <v>98.66609132891125</v>
      </c>
      <c r="M98" s="82">
        <v>71.258843737547011</v>
      </c>
      <c r="N98" s="82">
        <v>84.96246753322913</v>
      </c>
      <c r="O98" s="95">
        <v>1249.7704901662091</v>
      </c>
    </row>
    <row r="99" spans="1:15" x14ac:dyDescent="0.25">
      <c r="A99" s="214"/>
      <c r="B99" s="93" t="s">
        <v>27</v>
      </c>
      <c r="C99" s="94">
        <v>1302.5060913289151</v>
      </c>
      <c r="D99" s="82">
        <v>1157.7831922923674</v>
      </c>
      <c r="E99" s="82">
        <v>1157.7831922923674</v>
      </c>
      <c r="F99" s="82">
        <v>1121.6024675332358</v>
      </c>
      <c r="G99" s="82">
        <v>1374.8675408471852</v>
      </c>
      <c r="H99" s="82">
        <v>1736.6747884385436</v>
      </c>
      <c r="I99" s="82">
        <v>1772.8555131976825</v>
      </c>
      <c r="J99" s="82">
        <v>1809.0362379568212</v>
      </c>
      <c r="K99" s="82">
        <v>1700.4940636794195</v>
      </c>
      <c r="L99" s="82">
        <v>1302.5060913289151</v>
      </c>
      <c r="M99" s="82">
        <v>940.69884373754212</v>
      </c>
      <c r="N99" s="82">
        <v>1121.6024675332358</v>
      </c>
      <c r="O99" s="95">
        <v>16498.410490166232</v>
      </c>
    </row>
    <row r="100" spans="1:15" x14ac:dyDescent="0.25">
      <c r="A100" s="214"/>
      <c r="B100" s="93" t="s">
        <v>49</v>
      </c>
      <c r="C100" s="94">
        <v>61796.88</v>
      </c>
      <c r="D100" s="82">
        <v>54930.559999999998</v>
      </c>
      <c r="E100" s="82">
        <v>54930.559999999998</v>
      </c>
      <c r="F100" s="82">
        <v>53213.979999999996</v>
      </c>
      <c r="G100" s="82">
        <v>65230.039999999994</v>
      </c>
      <c r="H100" s="82">
        <v>82395.839999999997</v>
      </c>
      <c r="I100" s="82">
        <v>84112.42</v>
      </c>
      <c r="J100" s="82">
        <v>85829</v>
      </c>
      <c r="K100" s="82">
        <v>80679.259999999995</v>
      </c>
      <c r="L100" s="82">
        <v>61796.88</v>
      </c>
      <c r="M100" s="82">
        <v>44631.08</v>
      </c>
      <c r="N100" s="82">
        <v>53213.979999999996</v>
      </c>
      <c r="O100" s="95">
        <v>782760.48</v>
      </c>
    </row>
    <row r="101" spans="1:15" x14ac:dyDescent="0.25">
      <c r="A101" s="214"/>
      <c r="B101" s="93" t="s">
        <v>87</v>
      </c>
      <c r="C101" s="94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95">
        <v>0</v>
      </c>
    </row>
    <row r="102" spans="1:15" x14ac:dyDescent="0.25">
      <c r="A102" s="214"/>
      <c r="B102" s="93" t="s">
        <v>89</v>
      </c>
      <c r="C102" s="94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95">
        <v>0</v>
      </c>
    </row>
    <row r="103" spans="1:15" x14ac:dyDescent="0.25">
      <c r="A103" s="83" t="s">
        <v>81</v>
      </c>
      <c r="B103" s="83" t="s">
        <v>70</v>
      </c>
      <c r="C103" s="90">
        <v>239752.74</v>
      </c>
      <c r="D103" s="91">
        <v>231002.63999999998</v>
      </c>
      <c r="E103" s="91">
        <v>259002.96</v>
      </c>
      <c r="F103" s="91">
        <v>161001.84</v>
      </c>
      <c r="G103" s="91">
        <v>182002.08</v>
      </c>
      <c r="H103" s="91">
        <v>273003.12</v>
      </c>
      <c r="I103" s="91">
        <v>271253.09999999998</v>
      </c>
      <c r="J103" s="91">
        <v>278253.18</v>
      </c>
      <c r="K103" s="91">
        <v>252002.88</v>
      </c>
      <c r="L103" s="91">
        <v>204752.34</v>
      </c>
      <c r="M103" s="91">
        <v>234502.68</v>
      </c>
      <c r="N103" s="91">
        <v>253752.9</v>
      </c>
      <c r="O103" s="92">
        <v>2840282.46</v>
      </c>
    </row>
    <row r="104" spans="1:15" x14ac:dyDescent="0.25">
      <c r="A104" s="214"/>
      <c r="B104" s="93" t="s">
        <v>25</v>
      </c>
      <c r="C104" s="94">
        <v>4581.2799999999988</v>
      </c>
      <c r="D104" s="82">
        <v>4414.0799999999872</v>
      </c>
      <c r="E104" s="82">
        <v>4949.1199999999953</v>
      </c>
      <c r="F104" s="82">
        <v>3076.4800000000105</v>
      </c>
      <c r="G104" s="82">
        <v>3477.7599999999802</v>
      </c>
      <c r="H104" s="82">
        <v>5216.640000000014</v>
      </c>
      <c r="I104" s="82">
        <v>5183.2000000000116</v>
      </c>
      <c r="J104" s="82">
        <v>5316.960000000021</v>
      </c>
      <c r="K104" s="82">
        <v>4815.3600000000151</v>
      </c>
      <c r="L104" s="82">
        <v>3912.4800000000105</v>
      </c>
      <c r="M104" s="82">
        <v>4480.9599999999919</v>
      </c>
      <c r="N104" s="82">
        <v>4848.8000000000175</v>
      </c>
      <c r="O104" s="95">
        <v>54273.120000000054</v>
      </c>
    </row>
    <row r="105" spans="1:15" x14ac:dyDescent="0.25">
      <c r="A105" s="214"/>
      <c r="B105" s="93" t="s">
        <v>26</v>
      </c>
      <c r="C105" s="94">
        <v>375.47929200169</v>
      </c>
      <c r="D105" s="82">
        <v>361.77566820600794</v>
      </c>
      <c r="E105" s="82">
        <v>405.62726435219071</v>
      </c>
      <c r="F105" s="82">
        <v>252.14667784055098</v>
      </c>
      <c r="G105" s="82">
        <v>285.03537495018804</v>
      </c>
      <c r="H105" s="82">
        <v>427.55306242528212</v>
      </c>
      <c r="I105" s="82">
        <v>424.81233766614565</v>
      </c>
      <c r="J105" s="82">
        <v>435.77523670269136</v>
      </c>
      <c r="K105" s="82">
        <v>394.664365315645</v>
      </c>
      <c r="L105" s="82">
        <v>320.66479681896158</v>
      </c>
      <c r="M105" s="82">
        <v>367.25711772428082</v>
      </c>
      <c r="N105" s="82">
        <v>397.40509007478147</v>
      </c>
      <c r="O105" s="95">
        <v>4448.1962840784163</v>
      </c>
    </row>
    <row r="106" spans="1:15" x14ac:dyDescent="0.25">
      <c r="A106" s="214"/>
      <c r="B106" s="93" t="s">
        <v>27</v>
      </c>
      <c r="C106" s="94">
        <v>4956.7592920016887</v>
      </c>
      <c r="D106" s="82">
        <v>4775.8556682059952</v>
      </c>
      <c r="E106" s="82">
        <v>5354.747264352186</v>
      </c>
      <c r="F106" s="82">
        <v>3328.6266778405616</v>
      </c>
      <c r="G106" s="82">
        <v>3762.7953749501685</v>
      </c>
      <c r="H106" s="82">
        <v>5644.1930624252964</v>
      </c>
      <c r="I106" s="82">
        <v>5608.0123376661577</v>
      </c>
      <c r="J106" s="82">
        <v>5752.7352367027124</v>
      </c>
      <c r="K106" s="82">
        <v>5210.0243653156604</v>
      </c>
      <c r="L106" s="82">
        <v>4233.1447968189723</v>
      </c>
      <c r="M106" s="82">
        <v>4848.2171177242726</v>
      </c>
      <c r="N106" s="82">
        <v>5246.205090074799</v>
      </c>
      <c r="O106" s="95">
        <v>58721.316284078472</v>
      </c>
    </row>
    <row r="107" spans="1:15" x14ac:dyDescent="0.25">
      <c r="A107" s="214"/>
      <c r="B107" s="93" t="s">
        <v>49</v>
      </c>
      <c r="C107" s="94">
        <v>235171.46</v>
      </c>
      <c r="D107" s="82">
        <v>226588.56</v>
      </c>
      <c r="E107" s="82">
        <v>254053.84</v>
      </c>
      <c r="F107" s="82">
        <v>157925.35999999999</v>
      </c>
      <c r="G107" s="82">
        <v>178524.32</v>
      </c>
      <c r="H107" s="82">
        <v>267786.48</v>
      </c>
      <c r="I107" s="82">
        <v>266069.89999999997</v>
      </c>
      <c r="J107" s="82">
        <v>272936.21999999997</v>
      </c>
      <c r="K107" s="82">
        <v>247187.52</v>
      </c>
      <c r="L107" s="82">
        <v>200839.86</v>
      </c>
      <c r="M107" s="82">
        <v>230021.72</v>
      </c>
      <c r="N107" s="82">
        <v>248904.09999999998</v>
      </c>
      <c r="O107" s="95">
        <v>2786009.34</v>
      </c>
    </row>
    <row r="108" spans="1:15" x14ac:dyDescent="0.25">
      <c r="A108" s="214"/>
      <c r="B108" s="93" t="s">
        <v>87</v>
      </c>
      <c r="C108" s="94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95">
        <v>0</v>
      </c>
    </row>
    <row r="109" spans="1:15" x14ac:dyDescent="0.25">
      <c r="A109" s="214"/>
      <c r="B109" s="93" t="s">
        <v>89</v>
      </c>
      <c r="C109" s="94">
        <v>0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95">
        <v>0</v>
      </c>
    </row>
    <row r="110" spans="1:15" x14ac:dyDescent="0.25">
      <c r="A110" s="83" t="s">
        <v>83</v>
      </c>
      <c r="B110" s="83" t="s">
        <v>70</v>
      </c>
      <c r="C110" s="90">
        <v>77000.88</v>
      </c>
      <c r="D110" s="91">
        <v>73500.84</v>
      </c>
      <c r="E110" s="91">
        <v>64750.74</v>
      </c>
      <c r="F110" s="91">
        <v>47250.54</v>
      </c>
      <c r="G110" s="91">
        <v>73500.84</v>
      </c>
      <c r="H110" s="91">
        <v>98001.12</v>
      </c>
      <c r="I110" s="91">
        <v>94501.08</v>
      </c>
      <c r="J110" s="91">
        <v>103251.18</v>
      </c>
      <c r="K110" s="91">
        <v>94501.08</v>
      </c>
      <c r="L110" s="91">
        <v>64750.74</v>
      </c>
      <c r="M110" s="91">
        <v>66500.759999999995</v>
      </c>
      <c r="N110" s="91">
        <v>61250.7</v>
      </c>
      <c r="O110" s="92">
        <v>918760.49999999988</v>
      </c>
    </row>
    <row r="111" spans="1:15" x14ac:dyDescent="0.25">
      <c r="A111" s="214"/>
      <c r="B111" s="93" t="s">
        <v>25</v>
      </c>
      <c r="C111" s="94">
        <v>1471.3600000000151</v>
      </c>
      <c r="D111" s="82">
        <v>1404.4799999999959</v>
      </c>
      <c r="E111" s="82">
        <v>1237.2799999999988</v>
      </c>
      <c r="F111" s="82">
        <v>902.88000000000466</v>
      </c>
      <c r="G111" s="82">
        <v>1404.4799999999959</v>
      </c>
      <c r="H111" s="82">
        <v>1872.6399999999994</v>
      </c>
      <c r="I111" s="82">
        <v>1805.7600000000093</v>
      </c>
      <c r="J111" s="82">
        <v>1972.9599999999919</v>
      </c>
      <c r="K111" s="82">
        <v>1805.7600000000093</v>
      </c>
      <c r="L111" s="82">
        <v>1237.2799999999988</v>
      </c>
      <c r="M111" s="82">
        <v>1270.7200000000012</v>
      </c>
      <c r="N111" s="82">
        <v>1170.4000000000015</v>
      </c>
      <c r="O111" s="95">
        <v>17556.000000000022</v>
      </c>
    </row>
    <row r="112" spans="1:15" x14ac:dyDescent="0.25">
      <c r="A112" s="214"/>
      <c r="B112" s="93" t="s">
        <v>26</v>
      </c>
      <c r="C112" s="94">
        <v>120.59188940200265</v>
      </c>
      <c r="D112" s="82">
        <v>115.1104398837298</v>
      </c>
      <c r="E112" s="82">
        <v>101.40681608804768</v>
      </c>
      <c r="F112" s="82">
        <v>73.999568496683452</v>
      </c>
      <c r="G112" s="82">
        <v>115.1104398837298</v>
      </c>
      <c r="H112" s="82">
        <v>153.48058651163973</v>
      </c>
      <c r="I112" s="82">
        <v>147.9991369933669</v>
      </c>
      <c r="J112" s="82">
        <v>161.70276078904899</v>
      </c>
      <c r="K112" s="82">
        <v>147.9991369933669</v>
      </c>
      <c r="L112" s="82">
        <v>101.40681608804768</v>
      </c>
      <c r="M112" s="82">
        <v>104.1475408471841</v>
      </c>
      <c r="N112" s="82">
        <v>95.925366569774823</v>
      </c>
      <c r="O112" s="95">
        <v>1438.8804985466222</v>
      </c>
    </row>
    <row r="113" spans="1:15" x14ac:dyDescent="0.25">
      <c r="A113" s="214"/>
      <c r="B113" s="93" t="s">
        <v>27</v>
      </c>
      <c r="C113" s="94">
        <v>1591.9518894020177</v>
      </c>
      <c r="D113" s="82">
        <v>1519.5904398837258</v>
      </c>
      <c r="E113" s="82">
        <v>1338.6868160880465</v>
      </c>
      <c r="F113" s="82">
        <v>976.87956849668808</v>
      </c>
      <c r="G113" s="82">
        <v>1519.5904398837258</v>
      </c>
      <c r="H113" s="82">
        <v>2026.1205865116392</v>
      </c>
      <c r="I113" s="82">
        <v>1953.7591369933762</v>
      </c>
      <c r="J113" s="82">
        <v>2134.6627607890409</v>
      </c>
      <c r="K113" s="82">
        <v>1953.7591369933762</v>
      </c>
      <c r="L113" s="82">
        <v>1338.6868160880465</v>
      </c>
      <c r="M113" s="82">
        <v>1374.8675408471852</v>
      </c>
      <c r="N113" s="82">
        <v>1266.3253665697762</v>
      </c>
      <c r="O113" s="95">
        <v>18994.880498546645</v>
      </c>
    </row>
    <row r="114" spans="1:15" x14ac:dyDescent="0.25">
      <c r="A114" s="214"/>
      <c r="B114" s="93" t="s">
        <v>49</v>
      </c>
      <c r="C114" s="94">
        <v>75529.51999999999</v>
      </c>
      <c r="D114" s="82">
        <v>72096.36</v>
      </c>
      <c r="E114" s="82">
        <v>63513.46</v>
      </c>
      <c r="F114" s="82">
        <v>46347.659999999996</v>
      </c>
      <c r="G114" s="82">
        <v>72096.36</v>
      </c>
      <c r="H114" s="82">
        <v>96128.48</v>
      </c>
      <c r="I114" s="82">
        <v>92695.319999999992</v>
      </c>
      <c r="J114" s="82">
        <v>101278.22</v>
      </c>
      <c r="K114" s="82">
        <v>92695.319999999992</v>
      </c>
      <c r="L114" s="82">
        <v>63513.46</v>
      </c>
      <c r="M114" s="82">
        <v>65230.039999999994</v>
      </c>
      <c r="N114" s="82">
        <v>60080.299999999996</v>
      </c>
      <c r="O114" s="95">
        <v>901204.5</v>
      </c>
    </row>
    <row r="115" spans="1:15" x14ac:dyDescent="0.25">
      <c r="A115" s="214"/>
      <c r="B115" s="93" t="s">
        <v>87</v>
      </c>
      <c r="C115" s="94">
        <v>0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95">
        <v>0</v>
      </c>
    </row>
    <row r="116" spans="1:15" x14ac:dyDescent="0.25">
      <c r="A116" s="214"/>
      <c r="B116" s="93" t="s">
        <v>89</v>
      </c>
      <c r="C116" s="94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95">
        <v>0</v>
      </c>
    </row>
    <row r="117" spans="1:15" x14ac:dyDescent="0.25">
      <c r="A117" s="83" t="s">
        <v>71</v>
      </c>
      <c r="B117" s="84"/>
      <c r="C117" s="90">
        <v>14001910.020000003</v>
      </c>
      <c r="D117" s="91">
        <v>13881158.640000001</v>
      </c>
      <c r="E117" s="91">
        <v>12673644.840000004</v>
      </c>
      <c r="F117" s="91">
        <v>11333129.52</v>
      </c>
      <c r="G117" s="91">
        <v>14278413.18</v>
      </c>
      <c r="H117" s="91">
        <v>18189707.879999999</v>
      </c>
      <c r="I117" s="91">
        <v>17993705.640000001</v>
      </c>
      <c r="J117" s="91">
        <v>19286970.420000006</v>
      </c>
      <c r="K117" s="91">
        <v>17795953.379999999</v>
      </c>
      <c r="L117" s="91">
        <v>13987909.860000001</v>
      </c>
      <c r="M117" s="91">
        <v>12673644.839999998</v>
      </c>
      <c r="N117" s="91">
        <v>12717395.34</v>
      </c>
      <c r="O117" s="92">
        <v>178813543.55999997</v>
      </c>
    </row>
    <row r="118" spans="1:15" ht="13" x14ac:dyDescent="0.3">
      <c r="A118" s="83" t="s">
        <v>28</v>
      </c>
      <c r="B118" s="84"/>
      <c r="C118" s="253">
        <v>267553.44000000018</v>
      </c>
      <c r="D118" s="254">
        <v>265246.08000000054</v>
      </c>
      <c r="E118" s="254">
        <v>242172.48000000024</v>
      </c>
      <c r="F118" s="254">
        <v>216557.44000000012</v>
      </c>
      <c r="G118" s="254">
        <v>272836.96000000113</v>
      </c>
      <c r="H118" s="254">
        <v>347575.36000000022</v>
      </c>
      <c r="I118" s="254">
        <v>343830.08000000019</v>
      </c>
      <c r="J118" s="254">
        <v>368542.24000000162</v>
      </c>
      <c r="K118" s="254">
        <v>340051.36000000173</v>
      </c>
      <c r="L118" s="254">
        <v>267285.92000000039</v>
      </c>
      <c r="M118" s="254">
        <v>242172.47999999963</v>
      </c>
      <c r="N118" s="254">
        <v>243008.47999999975</v>
      </c>
      <c r="O118" s="255">
        <v>3416832.3200000064</v>
      </c>
    </row>
    <row r="119" spans="1:15" ht="13" x14ac:dyDescent="0.3">
      <c r="A119" s="83" t="s">
        <v>29</v>
      </c>
      <c r="B119" s="84"/>
      <c r="C119" s="253">
        <v>21928.538797850528</v>
      </c>
      <c r="D119" s="254">
        <v>21739.428789470108</v>
      </c>
      <c r="E119" s="254">
        <v>19848.328705665983</v>
      </c>
      <c r="F119" s="254">
        <v>17748.933540167483</v>
      </c>
      <c r="G119" s="254">
        <v>22361.573309794083</v>
      </c>
      <c r="H119" s="254">
        <v>28487.093146463991</v>
      </c>
      <c r="I119" s="254">
        <v>28180.131973440712</v>
      </c>
      <c r="J119" s="254">
        <v>30205.527570442522</v>
      </c>
      <c r="K119" s="254">
        <v>27870.430075658296</v>
      </c>
      <c r="L119" s="254">
        <v>21906.612999777437</v>
      </c>
      <c r="M119" s="254">
        <v>19848.328705665979</v>
      </c>
      <c r="N119" s="254">
        <v>19916.846824644392</v>
      </c>
      <c r="O119" s="255">
        <v>280041.77443904156</v>
      </c>
    </row>
    <row r="120" spans="1:15" ht="13" x14ac:dyDescent="0.3">
      <c r="A120" s="83" t="s">
        <v>30</v>
      </c>
      <c r="B120" s="84"/>
      <c r="C120" s="253">
        <v>289481.97879785078</v>
      </c>
      <c r="D120" s="254">
        <v>286985.50878947071</v>
      </c>
      <c r="E120" s="254">
        <v>262020.80870566619</v>
      </c>
      <c r="F120" s="254">
        <v>234306.37354016758</v>
      </c>
      <c r="G120" s="254">
        <v>295198.53330979514</v>
      </c>
      <c r="H120" s="254">
        <v>376062.45314646407</v>
      </c>
      <c r="I120" s="254">
        <v>372010.21197344101</v>
      </c>
      <c r="J120" s="254">
        <v>398747.76757044427</v>
      </c>
      <c r="K120" s="254">
        <v>367921.7900756601</v>
      </c>
      <c r="L120" s="254">
        <v>289192.53299977782</v>
      </c>
      <c r="M120" s="254">
        <v>262020.80870566558</v>
      </c>
      <c r="N120" s="254">
        <v>262925.32682464411</v>
      </c>
      <c r="O120" s="255">
        <v>3696874.0944390474</v>
      </c>
    </row>
    <row r="121" spans="1:15" x14ac:dyDescent="0.25">
      <c r="A121" s="83" t="s">
        <v>61</v>
      </c>
      <c r="B121" s="84"/>
      <c r="C121" s="90">
        <v>13734356.58</v>
      </c>
      <c r="D121" s="91">
        <v>13615912.560000001</v>
      </c>
      <c r="E121" s="91">
        <v>12431472.360000001</v>
      </c>
      <c r="F121" s="91">
        <v>11116572.08</v>
      </c>
      <c r="G121" s="91">
        <v>14005576.219999999</v>
      </c>
      <c r="H121" s="91">
        <v>17842132.52</v>
      </c>
      <c r="I121" s="91">
        <v>17649875.559999999</v>
      </c>
      <c r="J121" s="91">
        <v>18918428.179999996</v>
      </c>
      <c r="K121" s="91">
        <v>17455902.02</v>
      </c>
      <c r="L121" s="91">
        <v>13720623.940000001</v>
      </c>
      <c r="M121" s="91">
        <v>12431472.359999999</v>
      </c>
      <c r="N121" s="91">
        <v>12474386.859999999</v>
      </c>
      <c r="O121" s="92">
        <v>175396711.24000001</v>
      </c>
    </row>
    <row r="122" spans="1:15" x14ac:dyDescent="0.25">
      <c r="A122" s="83" t="s">
        <v>88</v>
      </c>
      <c r="B122" s="84"/>
      <c r="C122" s="90">
        <v>0</v>
      </c>
      <c r="D122" s="91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92">
        <v>0</v>
      </c>
    </row>
    <row r="123" spans="1:15" x14ac:dyDescent="0.25">
      <c r="A123" s="96" t="s">
        <v>90</v>
      </c>
      <c r="B123" s="215"/>
      <c r="C123" s="97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9">
        <v>0</v>
      </c>
    </row>
    <row r="125" spans="1:15" x14ac:dyDescent="0.25">
      <c r="L125" s="217"/>
      <c r="O125" s="217"/>
    </row>
    <row r="126" spans="1:15" x14ac:dyDescent="0.25">
      <c r="L126" s="82"/>
      <c r="O126" s="82"/>
    </row>
  </sheetData>
  <phoneticPr fontId="6" type="noConversion"/>
  <pageMargins left="0.5" right="0.5" top="0.73" bottom="0.98" header="0.5" footer="0.5"/>
  <pageSetup scale="54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B3" sqref="B3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46" customWidth="1"/>
    <col min="5" max="5" width="24.26953125" style="1" customWidth="1"/>
    <col min="6" max="6" width="7.7265625" style="146" customWidth="1"/>
    <col min="7" max="7" width="8.54296875" style="146" customWidth="1"/>
    <col min="8" max="8" width="11.1796875" style="146" bestFit="1" customWidth="1"/>
    <col min="9" max="9" width="11.26953125" style="147" customWidth="1"/>
    <col min="10" max="10" width="17.1796875" style="146" customWidth="1"/>
    <col min="11" max="11" width="17.453125" style="148" customWidth="1"/>
    <col min="12" max="12" width="14.7265625" style="146" customWidth="1"/>
    <col min="13" max="13" width="13.453125" style="110" bestFit="1" customWidth="1"/>
    <col min="14" max="15" width="13.453125" style="110" customWidth="1"/>
    <col min="16" max="16" width="14.81640625" style="110" bestFit="1" customWidth="1"/>
    <col min="17" max="17" width="13.453125" style="110" customWidth="1"/>
    <col min="18" max="18" width="15.54296875" style="213" customWidth="1"/>
    <col min="19" max="16384" width="8.7265625" style="1"/>
  </cols>
  <sheetData>
    <row r="1" spans="2:19" ht="21.5" x14ac:dyDescent="0.3">
      <c r="B1" s="10" t="s">
        <v>95</v>
      </c>
      <c r="C1" s="100"/>
      <c r="D1" s="101"/>
      <c r="E1" s="100"/>
      <c r="F1" s="102" t="s">
        <v>12</v>
      </c>
      <c r="G1" s="103"/>
      <c r="H1" s="104"/>
      <c r="I1" s="105"/>
      <c r="J1" s="219" t="str">
        <f>"True-Up ARR
(CY"&amp;R1&amp;")"</f>
        <v>True-Up ARR
(CY2023)</v>
      </c>
      <c r="K1" s="219" t="str">
        <f>"Projected ARR
(Jan'"&amp;RIGHT(R$1,2)&amp;" - Dec'"&amp;RIGHT(R$1,2)&amp;")"</f>
        <v>Projected ARR
(Jan'23 - Dec'23)</v>
      </c>
      <c r="L1" s="106" t="s">
        <v>45</v>
      </c>
      <c r="M1" s="107"/>
      <c r="N1" s="50"/>
      <c r="O1" s="50"/>
      <c r="P1" s="50"/>
      <c r="Q1" s="50"/>
      <c r="R1" s="108">
        <v>2023</v>
      </c>
      <c r="S1" s="2"/>
    </row>
    <row r="2" spans="2:19" ht="13" x14ac:dyDescent="0.3">
      <c r="B2" s="10" t="s">
        <v>52</v>
      </c>
      <c r="C2" s="100"/>
      <c r="D2" s="101"/>
      <c r="E2" s="100"/>
      <c r="F2" s="109">
        <v>9</v>
      </c>
      <c r="G2" s="257"/>
      <c r="H2" s="257"/>
      <c r="I2" s="111" t="s">
        <v>6</v>
      </c>
      <c r="J2" s="112">
        <v>178813409.50124812</v>
      </c>
      <c r="K2" s="112">
        <v>187843797.02208984</v>
      </c>
      <c r="L2" s="225"/>
      <c r="M2" s="114"/>
      <c r="N2" s="50"/>
      <c r="O2" s="50"/>
      <c r="P2" s="50"/>
      <c r="Q2" s="50"/>
      <c r="R2" s="1"/>
    </row>
    <row r="3" spans="2:19" ht="13" x14ac:dyDescent="0.3">
      <c r="B3" s="10" t="str">
        <f>"for CY"&amp;R1&amp;" SPP Network Transmission Service"</f>
        <v>for CY2023 SPP Network Transmission Service</v>
      </c>
      <c r="C3" s="100"/>
      <c r="D3" s="101"/>
      <c r="E3" s="100"/>
      <c r="F3" s="109"/>
      <c r="G3" s="257"/>
      <c r="H3" s="257"/>
      <c r="I3" s="111" t="s">
        <v>10</v>
      </c>
      <c r="J3" s="115">
        <v>1750.02</v>
      </c>
      <c r="K3" s="115">
        <v>1716.58</v>
      </c>
      <c r="L3" s="135" t="str">
        <f>"Inv. Jan-Dec'"&amp;RIGHT(R1,2)</f>
        <v>Inv. Jan-Dec'23</v>
      </c>
      <c r="M3" s="114"/>
      <c r="N3" s="50"/>
      <c r="O3" s="50"/>
      <c r="P3" s="50"/>
      <c r="Q3" s="50"/>
      <c r="R3" s="1"/>
    </row>
    <row r="4" spans="2:19" ht="13" x14ac:dyDescent="0.3">
      <c r="B4" s="9"/>
      <c r="C4" s="100"/>
      <c r="D4" s="101"/>
      <c r="E4" s="100"/>
      <c r="F4" s="109"/>
      <c r="G4" s="110"/>
      <c r="H4" s="110"/>
      <c r="I4" s="49"/>
      <c r="J4" s="110"/>
      <c r="K4" s="116"/>
      <c r="L4" s="223"/>
      <c r="M4" s="117"/>
      <c r="R4" s="1"/>
    </row>
    <row r="5" spans="2:19" ht="13" x14ac:dyDescent="0.3">
      <c r="B5" s="9"/>
      <c r="C5" s="100"/>
      <c r="D5" s="101"/>
      <c r="E5" s="100"/>
      <c r="F5" s="109"/>
      <c r="G5" s="110"/>
      <c r="H5" s="110"/>
      <c r="I5" s="111"/>
      <c r="J5" s="110"/>
      <c r="K5" s="112">
        <v>0</v>
      </c>
      <c r="L5" s="113"/>
      <c r="M5" s="118"/>
      <c r="N5" s="119"/>
      <c r="O5" s="119"/>
      <c r="P5" s="119"/>
      <c r="Q5" s="119"/>
      <c r="R5" s="120"/>
    </row>
    <row r="6" spans="2:19" ht="13" x14ac:dyDescent="0.3">
      <c r="B6" s="10" t="s">
        <v>23</v>
      </c>
      <c r="D6" s="101"/>
      <c r="E6" s="100"/>
      <c r="F6" s="121"/>
      <c r="G6" s="122"/>
      <c r="H6" s="123"/>
      <c r="I6" s="124"/>
      <c r="J6" s="125"/>
      <c r="K6" s="115">
        <v>0</v>
      </c>
      <c r="L6" s="216"/>
      <c r="M6" s="118"/>
      <c r="N6" s="119"/>
      <c r="O6" s="119"/>
      <c r="P6" s="119"/>
      <c r="Q6" s="119"/>
      <c r="R6" s="1"/>
    </row>
    <row r="7" spans="2:19" ht="13" x14ac:dyDescent="0.3">
      <c r="B7" s="9" t="s">
        <v>77</v>
      </c>
      <c r="D7" s="101"/>
      <c r="E7" s="100"/>
      <c r="F7" s="109"/>
      <c r="G7" s="258"/>
      <c r="H7" s="259"/>
      <c r="I7" s="111"/>
      <c r="J7" s="126"/>
      <c r="K7" s="113"/>
      <c r="L7" s="113"/>
      <c r="M7" s="127"/>
      <c r="N7" s="128"/>
      <c r="O7" s="128"/>
      <c r="P7" s="128"/>
      <c r="Q7" s="128"/>
      <c r="R7" s="1"/>
    </row>
    <row r="8" spans="2:19" ht="13" x14ac:dyDescent="0.3">
      <c r="B8" s="10"/>
      <c r="C8" s="100"/>
      <c r="D8" s="101"/>
      <c r="E8" s="100"/>
      <c r="F8" s="109"/>
      <c r="G8" s="259"/>
      <c r="H8" s="259"/>
      <c r="I8" s="111"/>
      <c r="J8" s="129"/>
      <c r="K8" s="113"/>
      <c r="L8" s="130"/>
      <c r="M8" s="114"/>
      <c r="N8" s="50"/>
      <c r="O8" s="50"/>
      <c r="P8" s="50"/>
      <c r="Q8" s="50"/>
      <c r="R8" s="120"/>
    </row>
    <row r="9" spans="2:19" ht="13" x14ac:dyDescent="0.3">
      <c r="B9" s="131"/>
      <c r="C9" s="100"/>
      <c r="D9" s="101"/>
      <c r="E9" s="100"/>
      <c r="F9" s="109"/>
      <c r="G9" s="110"/>
      <c r="H9" s="110"/>
      <c r="I9" s="132"/>
      <c r="J9" s="133"/>
      <c r="K9" s="134"/>
      <c r="L9" s="135"/>
      <c r="M9" s="114"/>
      <c r="N9" s="50"/>
      <c r="O9" s="50"/>
      <c r="P9" s="50"/>
      <c r="Q9" s="50"/>
      <c r="R9" s="120"/>
    </row>
    <row r="10" spans="2:19" ht="13.5" thickBot="1" x14ac:dyDescent="0.35">
      <c r="B10" s="9"/>
      <c r="D10" s="1"/>
      <c r="E10" s="136"/>
      <c r="F10" s="137"/>
      <c r="G10" s="138"/>
      <c r="H10" s="139"/>
      <c r="I10" s="140"/>
      <c r="J10" s="141"/>
      <c r="K10" s="141"/>
      <c r="L10" s="142"/>
      <c r="M10" s="143"/>
      <c r="R10" s="144"/>
    </row>
    <row r="11" spans="2:19" ht="13" x14ac:dyDescent="0.3">
      <c r="B11" s="145"/>
      <c r="E11" s="136"/>
      <c r="L11" s="149"/>
      <c r="M11" s="1"/>
      <c r="N11" s="1"/>
      <c r="O11" s="1"/>
      <c r="P11" s="1"/>
      <c r="Q11" s="1"/>
      <c r="R11" s="120"/>
    </row>
    <row r="12" spans="2:19" x14ac:dyDescent="0.25">
      <c r="E12" s="136"/>
      <c r="L12" s="149"/>
      <c r="R12" s="150" t="s">
        <v>60</v>
      </c>
    </row>
    <row r="13" spans="2:19" ht="13" x14ac:dyDescent="0.3">
      <c r="E13" s="136"/>
      <c r="F13" s="151"/>
      <c r="G13" s="152"/>
      <c r="H13" s="152"/>
      <c r="I13" s="153" t="s">
        <v>58</v>
      </c>
      <c r="J13" s="154">
        <f t="shared" ref="J13:R13" si="0">SUM(J56:J211)</f>
        <v>47226039.720000006</v>
      </c>
      <c r="K13" s="154">
        <f t="shared" si="0"/>
        <v>46323627.87999998</v>
      </c>
      <c r="L13" s="155">
        <f t="shared" si="0"/>
        <v>902411.84000000125</v>
      </c>
      <c r="M13" s="156">
        <f t="shared" si="0"/>
        <v>73961.198350055594</v>
      </c>
      <c r="N13" s="154">
        <f t="shared" si="0"/>
        <v>976373.0383500579</v>
      </c>
      <c r="O13" s="154">
        <f t="shared" si="0"/>
        <v>0</v>
      </c>
      <c r="P13" s="154">
        <f t="shared" si="0"/>
        <v>0</v>
      </c>
      <c r="Q13" s="154">
        <f t="shared" si="0"/>
        <v>0</v>
      </c>
      <c r="R13" s="155">
        <f t="shared" si="0"/>
        <v>976373.0383500579</v>
      </c>
    </row>
    <row r="14" spans="2:19" ht="13" x14ac:dyDescent="0.3">
      <c r="E14" s="136"/>
      <c r="F14" s="157"/>
      <c r="G14" s="157"/>
      <c r="H14" s="157"/>
      <c r="I14" s="158" t="s">
        <v>59</v>
      </c>
      <c r="J14" s="154">
        <f>SUM(J20:J211)</f>
        <v>178813543.55999976</v>
      </c>
      <c r="K14" s="154">
        <f>SUM(K20:K211)</f>
        <v>175396711.2400001</v>
      </c>
      <c r="L14" s="155">
        <f>SUM(L20:L211)</f>
        <v>3416832.3200000059</v>
      </c>
      <c r="M14" s="218">
        <v>280041.7744390415</v>
      </c>
      <c r="N14" s="154">
        <f>SUM(N20:N211)</f>
        <v>3696874.0944390432</v>
      </c>
      <c r="O14" s="154">
        <f>SUM(O20:O211)</f>
        <v>0</v>
      </c>
      <c r="P14" s="154">
        <f>SUM(P20:P211)</f>
        <v>0</v>
      </c>
      <c r="Q14" s="154">
        <f>SUM(Q20:Q211)</f>
        <v>0</v>
      </c>
      <c r="R14" s="155">
        <f>SUM(R20:R211)</f>
        <v>3696874.0944390432</v>
      </c>
    </row>
    <row r="15" spans="2:19" x14ac:dyDescent="0.25">
      <c r="B15" s="159" t="s">
        <v>82</v>
      </c>
      <c r="E15" s="136"/>
      <c r="J15" s="147"/>
      <c r="L15" s="149"/>
      <c r="M15" s="224"/>
      <c r="N15" s="160"/>
      <c r="O15" s="160"/>
      <c r="P15" s="160"/>
      <c r="Q15" s="160"/>
      <c r="R15" s="161" t="s">
        <v>20</v>
      </c>
    </row>
    <row r="16" spans="2:19" x14ac:dyDescent="0.25">
      <c r="B16" s="162" t="str">
        <f>"** Actual Trued-Up CY"&amp;R1&amp;" Charge reflects "&amp;R1&amp;" True-UP Rate x MW"</f>
        <v>** Actual Trued-Up CY2023 Charge reflects 2023 True-UP Rate x MW</v>
      </c>
      <c r="E16" s="136"/>
      <c r="F16" s="110"/>
      <c r="G16" s="5"/>
      <c r="J16" s="163"/>
      <c r="L16" s="164" t="s">
        <v>11</v>
      </c>
      <c r="M16" s="160"/>
      <c r="N16" s="160"/>
      <c r="O16" s="160"/>
      <c r="P16" s="160"/>
      <c r="Q16" s="160"/>
      <c r="R16" s="165"/>
    </row>
    <row r="17" spans="1:18" x14ac:dyDescent="0.25">
      <c r="B17" s="166" t="s">
        <v>62</v>
      </c>
      <c r="E17" s="136"/>
      <c r="I17" s="167"/>
      <c r="J17" s="168"/>
      <c r="K17" s="169"/>
      <c r="L17" s="169"/>
      <c r="M17" s="169"/>
      <c r="N17" s="169"/>
      <c r="O17" s="169"/>
      <c r="P17" s="169"/>
      <c r="Q17" s="169"/>
      <c r="R17" s="170"/>
    </row>
    <row r="18" spans="1:18" ht="3.65" customHeight="1" x14ac:dyDescent="0.25">
      <c r="I18" s="171"/>
      <c r="J18" s="168"/>
      <c r="K18" s="171"/>
      <c r="L18" s="171"/>
      <c r="M18" s="172"/>
      <c r="N18" s="172"/>
      <c r="O18" s="172"/>
      <c r="P18" s="172"/>
      <c r="Q18" s="172"/>
      <c r="R18" s="173"/>
    </row>
    <row r="19" spans="1:18" ht="38.25" customHeight="1" x14ac:dyDescent="0.25">
      <c r="B19" s="174" t="s">
        <v>53</v>
      </c>
      <c r="C19" s="226" t="s">
        <v>4</v>
      </c>
      <c r="D19" s="226" t="s">
        <v>5</v>
      </c>
      <c r="E19" s="227" t="s">
        <v>0</v>
      </c>
      <c r="F19" s="228" t="s">
        <v>12</v>
      </c>
      <c r="G19" s="229" t="s">
        <v>1</v>
      </c>
      <c r="H19" s="175" t="s">
        <v>48</v>
      </c>
      <c r="I19" s="175" t="s">
        <v>46</v>
      </c>
      <c r="J19" s="176" t="str">
        <f>"True-Up Charge"</f>
        <v>True-Up Charge</v>
      </c>
      <c r="K19" s="176" t="s">
        <v>47</v>
      </c>
      <c r="L19" s="177" t="s">
        <v>3</v>
      </c>
      <c r="M19" s="178" t="s">
        <v>7</v>
      </c>
      <c r="N19" s="179" t="s">
        <v>103</v>
      </c>
      <c r="O19" s="179" t="s">
        <v>84</v>
      </c>
      <c r="P19" s="179" t="s">
        <v>85</v>
      </c>
      <c r="Q19" s="179" t="s">
        <v>86</v>
      </c>
      <c r="R19" s="180" t="s">
        <v>2</v>
      </c>
    </row>
    <row r="20" spans="1:18" s="50" customFormat="1" ht="12.75" customHeight="1" x14ac:dyDescent="0.25">
      <c r="A20" s="110">
        <v>1</v>
      </c>
      <c r="B20" s="181">
        <f>DATE($R$1,A20,1)</f>
        <v>44927</v>
      </c>
      <c r="C20" s="220">
        <v>44960</v>
      </c>
      <c r="D20" s="220">
        <v>44981</v>
      </c>
      <c r="E20" s="182" t="s">
        <v>21</v>
      </c>
      <c r="F20" s="110">
        <v>9</v>
      </c>
      <c r="G20" s="183">
        <v>2810</v>
      </c>
      <c r="H20" s="184">
        <f>+$K$3</f>
        <v>1716.58</v>
      </c>
      <c r="I20" s="184">
        <f t="shared" ref="I20:I63" si="1">$J$3</f>
        <v>1750.02</v>
      </c>
      <c r="J20" s="185">
        <f t="shared" ref="J20:J108" si="2">+$G20*I20</f>
        <v>4917556.2</v>
      </c>
      <c r="K20" s="186">
        <f>+$G20*H20</f>
        <v>4823589.8</v>
      </c>
      <c r="L20" s="187">
        <f t="shared" ref="L20:L34" si="3">+J20-K20</f>
        <v>93966.400000000373</v>
      </c>
      <c r="M20" s="188">
        <f>G20/$G$212*$M$14</f>
        <v>7701.4365731733506</v>
      </c>
      <c r="N20" s="189">
        <f>SUM(L20:M20)</f>
        <v>101667.83657317373</v>
      </c>
      <c r="O20" s="188">
        <v>0</v>
      </c>
      <c r="P20" s="188">
        <v>0</v>
      </c>
      <c r="Q20" s="188">
        <v>0</v>
      </c>
      <c r="R20" s="189">
        <f>+N20-Q20</f>
        <v>101667.83657317373</v>
      </c>
    </row>
    <row r="21" spans="1:18" x14ac:dyDescent="0.25">
      <c r="A21" s="146">
        <v>2</v>
      </c>
      <c r="B21" s="181">
        <f t="shared" ref="B21:B108" si="4">DATE($R$1,A21,1)</f>
        <v>44958</v>
      </c>
      <c r="C21" s="220">
        <v>44988</v>
      </c>
      <c r="D21" s="220">
        <v>45009</v>
      </c>
      <c r="E21" s="190" t="s">
        <v>21</v>
      </c>
      <c r="F21" s="146">
        <v>9</v>
      </c>
      <c r="G21" s="183">
        <v>2771</v>
      </c>
      <c r="H21" s="184">
        <f t="shared" ref="H21:H84" si="5">+$K$3</f>
        <v>1716.58</v>
      </c>
      <c r="I21" s="184">
        <f t="shared" si="1"/>
        <v>1750.02</v>
      </c>
      <c r="J21" s="185">
        <f t="shared" si="2"/>
        <v>4849305.42</v>
      </c>
      <c r="K21" s="186">
        <f t="shared" ref="K21:K33" si="6">+$G21*H21</f>
        <v>4756643.18</v>
      </c>
      <c r="L21" s="187">
        <f t="shared" si="3"/>
        <v>92662.240000000224</v>
      </c>
      <c r="M21" s="188">
        <f t="shared" ref="M21:M84" si="7">G21/$G$212*$M$14</f>
        <v>7594.54830756703</v>
      </c>
      <c r="N21" s="189">
        <f t="shared" ref="N21:N84" si="8">SUM(L21:M21)</f>
        <v>100256.78830756726</v>
      </c>
      <c r="O21" s="188">
        <v>0</v>
      </c>
      <c r="P21" s="188">
        <v>0</v>
      </c>
      <c r="Q21" s="188">
        <v>0</v>
      </c>
      <c r="R21" s="189">
        <f t="shared" ref="R21:R84" si="9">+N21-Q21</f>
        <v>100256.78830756726</v>
      </c>
    </row>
    <row r="22" spans="1:18" x14ac:dyDescent="0.25">
      <c r="A22" s="146">
        <v>3</v>
      </c>
      <c r="B22" s="181">
        <f t="shared" si="4"/>
        <v>44986</v>
      </c>
      <c r="C22" s="220">
        <v>45021</v>
      </c>
      <c r="D22" s="220">
        <v>45040</v>
      </c>
      <c r="E22" s="190" t="s">
        <v>21</v>
      </c>
      <c r="F22" s="146">
        <v>9</v>
      </c>
      <c r="G22" s="183">
        <v>2389</v>
      </c>
      <c r="H22" s="184">
        <f t="shared" si="5"/>
        <v>1716.58</v>
      </c>
      <c r="I22" s="184">
        <f t="shared" si="1"/>
        <v>1750.02</v>
      </c>
      <c r="J22" s="185">
        <f t="shared" si="2"/>
        <v>4180797.78</v>
      </c>
      <c r="K22" s="186">
        <f t="shared" si="6"/>
        <v>4100909.6199999996</v>
      </c>
      <c r="L22" s="187">
        <f t="shared" si="3"/>
        <v>79888.160000000149</v>
      </c>
      <c r="M22" s="188">
        <f t="shared" si="7"/>
        <v>6547.5914495769166</v>
      </c>
      <c r="N22" s="189">
        <f t="shared" si="8"/>
        <v>86435.751449577059</v>
      </c>
      <c r="O22" s="188">
        <v>0</v>
      </c>
      <c r="P22" s="188">
        <v>0</v>
      </c>
      <c r="Q22" s="188">
        <v>0</v>
      </c>
      <c r="R22" s="189">
        <f t="shared" si="9"/>
        <v>86435.751449577059</v>
      </c>
    </row>
    <row r="23" spans="1:18" x14ac:dyDescent="0.25">
      <c r="A23" s="110">
        <v>4</v>
      </c>
      <c r="B23" s="181">
        <f t="shared" si="4"/>
        <v>45017</v>
      </c>
      <c r="C23" s="220">
        <v>45049</v>
      </c>
      <c r="D23" s="220">
        <v>45070</v>
      </c>
      <c r="E23" s="190" t="s">
        <v>21</v>
      </c>
      <c r="F23" s="146">
        <v>9</v>
      </c>
      <c r="G23" s="183">
        <v>2392</v>
      </c>
      <c r="H23" s="184">
        <f t="shared" si="5"/>
        <v>1716.58</v>
      </c>
      <c r="I23" s="184">
        <f t="shared" si="1"/>
        <v>1750.02</v>
      </c>
      <c r="J23" s="185">
        <f t="shared" si="2"/>
        <v>4186047.84</v>
      </c>
      <c r="K23" s="186">
        <f t="shared" si="6"/>
        <v>4106059.36</v>
      </c>
      <c r="L23" s="187">
        <f t="shared" si="3"/>
        <v>79988.479999999981</v>
      </c>
      <c r="M23" s="188">
        <f t="shared" si="7"/>
        <v>6555.8136238543257</v>
      </c>
      <c r="N23" s="189">
        <f t="shared" si="8"/>
        <v>86544.293623854304</v>
      </c>
      <c r="O23" s="188">
        <v>0</v>
      </c>
      <c r="P23" s="188">
        <v>0</v>
      </c>
      <c r="Q23" s="188">
        <v>0</v>
      </c>
      <c r="R23" s="189">
        <f t="shared" si="9"/>
        <v>86544.293623854304</v>
      </c>
    </row>
    <row r="24" spans="1:18" ht="12" customHeight="1" x14ac:dyDescent="0.25">
      <c r="A24" s="146">
        <v>5</v>
      </c>
      <c r="B24" s="181">
        <f t="shared" si="4"/>
        <v>45047</v>
      </c>
      <c r="C24" s="220">
        <v>45082</v>
      </c>
      <c r="D24" s="220">
        <v>45103</v>
      </c>
      <c r="E24" s="52" t="s">
        <v>21</v>
      </c>
      <c r="F24" s="146">
        <v>9</v>
      </c>
      <c r="G24" s="183">
        <v>3231</v>
      </c>
      <c r="H24" s="184">
        <f t="shared" si="5"/>
        <v>1716.58</v>
      </c>
      <c r="I24" s="184">
        <f t="shared" si="1"/>
        <v>1750.02</v>
      </c>
      <c r="J24" s="185">
        <f t="shared" si="2"/>
        <v>5654314.6200000001</v>
      </c>
      <c r="K24" s="186">
        <f t="shared" si="6"/>
        <v>5546269.9799999995</v>
      </c>
      <c r="L24" s="187">
        <f t="shared" si="3"/>
        <v>108044.6400000006</v>
      </c>
      <c r="M24" s="188">
        <f t="shared" si="7"/>
        <v>8855.2816967697854</v>
      </c>
      <c r="N24" s="189">
        <f t="shared" si="8"/>
        <v>116899.92169677038</v>
      </c>
      <c r="O24" s="188">
        <v>0</v>
      </c>
      <c r="P24" s="188">
        <v>0</v>
      </c>
      <c r="Q24" s="188">
        <v>0</v>
      </c>
      <c r="R24" s="189">
        <f t="shared" si="9"/>
        <v>116899.92169677038</v>
      </c>
    </row>
    <row r="25" spans="1:18" x14ac:dyDescent="0.25">
      <c r="A25" s="146">
        <v>6</v>
      </c>
      <c r="B25" s="181">
        <f t="shared" si="4"/>
        <v>45078</v>
      </c>
      <c r="C25" s="220">
        <v>45112</v>
      </c>
      <c r="D25" s="220">
        <v>45131</v>
      </c>
      <c r="E25" s="52" t="s">
        <v>21</v>
      </c>
      <c r="F25" s="146">
        <v>9</v>
      </c>
      <c r="G25" s="183">
        <v>4100</v>
      </c>
      <c r="H25" s="184">
        <f t="shared" si="5"/>
        <v>1716.58</v>
      </c>
      <c r="I25" s="184">
        <f t="shared" si="1"/>
        <v>1750.02</v>
      </c>
      <c r="J25" s="185">
        <f t="shared" si="2"/>
        <v>7175082</v>
      </c>
      <c r="K25" s="186">
        <f t="shared" si="6"/>
        <v>7037978</v>
      </c>
      <c r="L25" s="191">
        <f t="shared" si="3"/>
        <v>137104</v>
      </c>
      <c r="M25" s="188">
        <f t="shared" si="7"/>
        <v>11236.971512459337</v>
      </c>
      <c r="N25" s="189">
        <f t="shared" si="8"/>
        <v>148340.97151245933</v>
      </c>
      <c r="O25" s="188">
        <v>0</v>
      </c>
      <c r="P25" s="188">
        <v>0</v>
      </c>
      <c r="Q25" s="188">
        <v>0</v>
      </c>
      <c r="R25" s="189">
        <f t="shared" si="9"/>
        <v>148340.97151245933</v>
      </c>
    </row>
    <row r="26" spans="1:18" x14ac:dyDescent="0.25">
      <c r="A26" s="110">
        <v>7</v>
      </c>
      <c r="B26" s="181">
        <f t="shared" si="4"/>
        <v>45108</v>
      </c>
      <c r="C26" s="220">
        <v>45141</v>
      </c>
      <c r="D26" s="220">
        <v>45162</v>
      </c>
      <c r="E26" s="52" t="s">
        <v>21</v>
      </c>
      <c r="F26" s="146">
        <v>9</v>
      </c>
      <c r="G26" s="183">
        <v>3988</v>
      </c>
      <c r="H26" s="184">
        <f t="shared" si="5"/>
        <v>1716.58</v>
      </c>
      <c r="I26" s="184">
        <f t="shared" si="1"/>
        <v>1750.02</v>
      </c>
      <c r="J26" s="185">
        <f t="shared" si="2"/>
        <v>6979079.7599999998</v>
      </c>
      <c r="K26" s="192">
        <f t="shared" si="6"/>
        <v>6845721.04</v>
      </c>
      <c r="L26" s="191">
        <f t="shared" si="3"/>
        <v>133358.71999999974</v>
      </c>
      <c r="M26" s="188">
        <f t="shared" si="7"/>
        <v>10930.010339436058</v>
      </c>
      <c r="N26" s="189">
        <f t="shared" si="8"/>
        <v>144288.7303394358</v>
      </c>
      <c r="O26" s="188">
        <v>0</v>
      </c>
      <c r="P26" s="188">
        <v>0</v>
      </c>
      <c r="Q26" s="188">
        <v>0</v>
      </c>
      <c r="R26" s="189">
        <f t="shared" si="9"/>
        <v>144288.7303394358</v>
      </c>
    </row>
    <row r="27" spans="1:18" x14ac:dyDescent="0.25">
      <c r="A27" s="146">
        <v>8</v>
      </c>
      <c r="B27" s="181">
        <f t="shared" si="4"/>
        <v>45139</v>
      </c>
      <c r="C27" s="220">
        <v>45174</v>
      </c>
      <c r="D27" s="220">
        <v>45194</v>
      </c>
      <c r="E27" s="52" t="s">
        <v>21</v>
      </c>
      <c r="F27" s="146">
        <v>9</v>
      </c>
      <c r="G27" s="183">
        <v>4265</v>
      </c>
      <c r="H27" s="184">
        <f t="shared" si="5"/>
        <v>1716.58</v>
      </c>
      <c r="I27" s="184">
        <f t="shared" si="1"/>
        <v>1750.02</v>
      </c>
      <c r="J27" s="185">
        <f t="shared" si="2"/>
        <v>7463835.2999999998</v>
      </c>
      <c r="K27" s="192">
        <f t="shared" si="6"/>
        <v>7321213.6999999993</v>
      </c>
      <c r="L27" s="191">
        <f t="shared" si="3"/>
        <v>142621.60000000056</v>
      </c>
      <c r="M27" s="188">
        <f t="shared" si="7"/>
        <v>11689.191097716846</v>
      </c>
      <c r="N27" s="189">
        <f t="shared" si="8"/>
        <v>154310.79109771742</v>
      </c>
      <c r="O27" s="188">
        <v>0</v>
      </c>
      <c r="P27" s="188">
        <v>0</v>
      </c>
      <c r="Q27" s="188">
        <v>0</v>
      </c>
      <c r="R27" s="189">
        <f t="shared" si="9"/>
        <v>154310.79109771742</v>
      </c>
    </row>
    <row r="28" spans="1:18" x14ac:dyDescent="0.25">
      <c r="A28" s="146">
        <v>9</v>
      </c>
      <c r="B28" s="181">
        <f t="shared" si="4"/>
        <v>45170</v>
      </c>
      <c r="C28" s="220">
        <v>45203</v>
      </c>
      <c r="D28" s="220">
        <v>45223</v>
      </c>
      <c r="E28" s="52" t="s">
        <v>21</v>
      </c>
      <c r="F28" s="146">
        <v>9</v>
      </c>
      <c r="G28" s="183">
        <v>4016</v>
      </c>
      <c r="H28" s="184">
        <f t="shared" si="5"/>
        <v>1716.58</v>
      </c>
      <c r="I28" s="184">
        <f t="shared" si="1"/>
        <v>1750.02</v>
      </c>
      <c r="J28" s="185">
        <f t="shared" si="2"/>
        <v>7028080.3200000003</v>
      </c>
      <c r="K28" s="192">
        <f t="shared" si="6"/>
        <v>6893785.2799999993</v>
      </c>
      <c r="L28" s="191">
        <f t="shared" si="3"/>
        <v>134295.04000000097</v>
      </c>
      <c r="M28" s="188">
        <f t="shared" si="7"/>
        <v>11006.750632691879</v>
      </c>
      <c r="N28" s="189">
        <f t="shared" si="8"/>
        <v>145301.79063269284</v>
      </c>
      <c r="O28" s="188">
        <v>0</v>
      </c>
      <c r="P28" s="188">
        <v>0</v>
      </c>
      <c r="Q28" s="188">
        <v>0</v>
      </c>
      <c r="R28" s="189">
        <f t="shared" si="9"/>
        <v>145301.79063269284</v>
      </c>
    </row>
    <row r="29" spans="1:18" x14ac:dyDescent="0.25">
      <c r="A29" s="110">
        <v>10</v>
      </c>
      <c r="B29" s="181">
        <f t="shared" si="4"/>
        <v>45200</v>
      </c>
      <c r="C29" s="220">
        <v>45233</v>
      </c>
      <c r="D29" s="220">
        <v>45254</v>
      </c>
      <c r="E29" s="52" t="s">
        <v>21</v>
      </c>
      <c r="F29" s="146">
        <v>9</v>
      </c>
      <c r="G29" s="183">
        <v>3105</v>
      </c>
      <c r="H29" s="184">
        <f t="shared" si="5"/>
        <v>1716.58</v>
      </c>
      <c r="I29" s="184">
        <f t="shared" si="1"/>
        <v>1750.02</v>
      </c>
      <c r="J29" s="185">
        <f t="shared" si="2"/>
        <v>5433812.0999999996</v>
      </c>
      <c r="K29" s="192">
        <f t="shared" si="6"/>
        <v>5329980.8999999994</v>
      </c>
      <c r="L29" s="191">
        <f t="shared" si="3"/>
        <v>103831.20000000019</v>
      </c>
      <c r="M29" s="188">
        <f t="shared" si="7"/>
        <v>8509.9503771185955</v>
      </c>
      <c r="N29" s="189">
        <f t="shared" si="8"/>
        <v>112341.15037711879</v>
      </c>
      <c r="O29" s="188">
        <v>0</v>
      </c>
      <c r="P29" s="188">
        <v>0</v>
      </c>
      <c r="Q29" s="188">
        <v>0</v>
      </c>
      <c r="R29" s="189">
        <f t="shared" si="9"/>
        <v>112341.15037711879</v>
      </c>
    </row>
    <row r="30" spans="1:18" x14ac:dyDescent="0.25">
      <c r="A30" s="146">
        <v>11</v>
      </c>
      <c r="B30" s="181">
        <f t="shared" si="4"/>
        <v>45231</v>
      </c>
      <c r="C30" s="220">
        <v>45266</v>
      </c>
      <c r="D30" s="220">
        <v>45285</v>
      </c>
      <c r="E30" s="52" t="s">
        <v>21</v>
      </c>
      <c r="F30" s="146">
        <v>9</v>
      </c>
      <c r="G30" s="183">
        <v>2513</v>
      </c>
      <c r="H30" s="184">
        <f t="shared" si="5"/>
        <v>1716.58</v>
      </c>
      <c r="I30" s="184">
        <f t="shared" si="1"/>
        <v>1750.02</v>
      </c>
      <c r="J30" s="185">
        <f t="shared" si="2"/>
        <v>4397800.26</v>
      </c>
      <c r="K30" s="192">
        <f t="shared" si="6"/>
        <v>4313765.54</v>
      </c>
      <c r="L30" s="191">
        <f t="shared" si="3"/>
        <v>84034.719999999739</v>
      </c>
      <c r="M30" s="188">
        <f t="shared" si="7"/>
        <v>6887.4413197098329</v>
      </c>
      <c r="N30" s="189">
        <f t="shared" si="8"/>
        <v>90922.161319709572</v>
      </c>
      <c r="O30" s="188">
        <v>0</v>
      </c>
      <c r="P30" s="188">
        <v>0</v>
      </c>
      <c r="Q30" s="188">
        <v>0</v>
      </c>
      <c r="R30" s="189">
        <f t="shared" si="9"/>
        <v>90922.161319709572</v>
      </c>
    </row>
    <row r="31" spans="1:18" x14ac:dyDescent="0.25">
      <c r="A31" s="146">
        <v>12</v>
      </c>
      <c r="B31" s="181">
        <f t="shared" si="4"/>
        <v>45261</v>
      </c>
      <c r="C31" s="221">
        <v>45294</v>
      </c>
      <c r="D31" s="222">
        <v>45315</v>
      </c>
      <c r="E31" s="52" t="s">
        <v>21</v>
      </c>
      <c r="F31" s="146">
        <v>9</v>
      </c>
      <c r="G31" s="183">
        <v>2474</v>
      </c>
      <c r="H31" s="193">
        <f t="shared" si="5"/>
        <v>1716.58</v>
      </c>
      <c r="I31" s="193">
        <f t="shared" si="1"/>
        <v>1750.02</v>
      </c>
      <c r="J31" s="194">
        <f t="shared" si="2"/>
        <v>4329549.4799999995</v>
      </c>
      <c r="K31" s="195">
        <f t="shared" si="6"/>
        <v>4246818.92</v>
      </c>
      <c r="L31" s="196">
        <f t="shared" si="3"/>
        <v>82730.55999999959</v>
      </c>
      <c r="M31" s="188">
        <f t="shared" si="7"/>
        <v>6780.5530541035123</v>
      </c>
      <c r="N31" s="189">
        <f t="shared" si="8"/>
        <v>89511.113054103102</v>
      </c>
      <c r="O31" s="188">
        <v>0</v>
      </c>
      <c r="P31" s="188">
        <v>0</v>
      </c>
      <c r="Q31" s="188">
        <v>0</v>
      </c>
      <c r="R31" s="189">
        <f t="shared" si="9"/>
        <v>89511.113054103102</v>
      </c>
    </row>
    <row r="32" spans="1:18" x14ac:dyDescent="0.25">
      <c r="A32" s="110">
        <v>1</v>
      </c>
      <c r="B32" s="197">
        <f t="shared" si="4"/>
        <v>44927</v>
      </c>
      <c r="C32" s="198">
        <f t="shared" ref="C32:D43" si="10">+C20</f>
        <v>44960</v>
      </c>
      <c r="D32" s="198">
        <f t="shared" si="10"/>
        <v>44981</v>
      </c>
      <c r="E32" s="199" t="s">
        <v>22</v>
      </c>
      <c r="F32" s="200">
        <v>9</v>
      </c>
      <c r="G32" s="183">
        <v>2724</v>
      </c>
      <c r="H32" s="184">
        <f t="shared" si="5"/>
        <v>1716.58</v>
      </c>
      <c r="I32" s="184">
        <f t="shared" si="1"/>
        <v>1750.02</v>
      </c>
      <c r="J32" s="185">
        <f t="shared" si="2"/>
        <v>4767054.4799999995</v>
      </c>
      <c r="K32" s="186">
        <f t="shared" si="6"/>
        <v>4675963.92</v>
      </c>
      <c r="L32" s="187">
        <f t="shared" si="3"/>
        <v>91090.55999999959</v>
      </c>
      <c r="M32" s="188">
        <f t="shared" si="7"/>
        <v>7465.7342438876185</v>
      </c>
      <c r="N32" s="189">
        <f t="shared" si="8"/>
        <v>98556.294243887212</v>
      </c>
      <c r="O32" s="188">
        <v>0</v>
      </c>
      <c r="P32" s="188">
        <v>0</v>
      </c>
      <c r="Q32" s="188">
        <v>0</v>
      </c>
      <c r="R32" s="189">
        <f t="shared" si="9"/>
        <v>98556.294243887212</v>
      </c>
    </row>
    <row r="33" spans="1:18" x14ac:dyDescent="0.25">
      <c r="A33" s="146">
        <v>2</v>
      </c>
      <c r="B33" s="181">
        <f t="shared" si="4"/>
        <v>44958</v>
      </c>
      <c r="C33" s="201">
        <f t="shared" si="10"/>
        <v>44988</v>
      </c>
      <c r="D33" s="201">
        <f t="shared" si="10"/>
        <v>45009</v>
      </c>
      <c r="E33" s="190" t="s">
        <v>22</v>
      </c>
      <c r="F33" s="146">
        <v>9</v>
      </c>
      <c r="G33" s="183">
        <v>2757</v>
      </c>
      <c r="H33" s="184">
        <f t="shared" si="5"/>
        <v>1716.58</v>
      </c>
      <c r="I33" s="184">
        <f t="shared" si="1"/>
        <v>1750.02</v>
      </c>
      <c r="J33" s="185">
        <f t="shared" si="2"/>
        <v>4824805.1399999997</v>
      </c>
      <c r="K33" s="186">
        <f t="shared" si="6"/>
        <v>4732611.0599999996</v>
      </c>
      <c r="L33" s="187">
        <f t="shared" si="3"/>
        <v>92194.080000000075</v>
      </c>
      <c r="M33" s="188">
        <f t="shared" si="7"/>
        <v>7556.1781609391201</v>
      </c>
      <c r="N33" s="189">
        <f t="shared" si="8"/>
        <v>99750.258160939193</v>
      </c>
      <c r="O33" s="188">
        <v>0</v>
      </c>
      <c r="P33" s="188">
        <v>0</v>
      </c>
      <c r="Q33" s="188">
        <v>0</v>
      </c>
      <c r="R33" s="189">
        <f t="shared" si="9"/>
        <v>99750.258160939193</v>
      </c>
    </row>
    <row r="34" spans="1:18" x14ac:dyDescent="0.25">
      <c r="A34" s="146">
        <v>3</v>
      </c>
      <c r="B34" s="181">
        <f t="shared" si="4"/>
        <v>44986</v>
      </c>
      <c r="C34" s="201">
        <f t="shared" si="10"/>
        <v>45021</v>
      </c>
      <c r="D34" s="201">
        <f t="shared" si="10"/>
        <v>45040</v>
      </c>
      <c r="E34" s="190" t="s">
        <v>22</v>
      </c>
      <c r="F34" s="146">
        <v>9</v>
      </c>
      <c r="G34" s="183">
        <v>2641</v>
      </c>
      <c r="H34" s="184">
        <f t="shared" si="5"/>
        <v>1716.58</v>
      </c>
      <c r="I34" s="184">
        <f t="shared" si="1"/>
        <v>1750.02</v>
      </c>
      <c r="J34" s="185">
        <f t="shared" si="2"/>
        <v>4621802.82</v>
      </c>
      <c r="K34" s="186">
        <f t="shared" ref="K34:K93" si="11">+$G34*H34</f>
        <v>4533487.78</v>
      </c>
      <c r="L34" s="187">
        <f t="shared" si="3"/>
        <v>88315.040000000037</v>
      </c>
      <c r="M34" s="188">
        <f t="shared" si="7"/>
        <v>7238.2540888792955</v>
      </c>
      <c r="N34" s="189">
        <f t="shared" si="8"/>
        <v>95553.294088879338</v>
      </c>
      <c r="O34" s="188">
        <v>0</v>
      </c>
      <c r="P34" s="188">
        <v>0</v>
      </c>
      <c r="Q34" s="188">
        <v>0</v>
      </c>
      <c r="R34" s="189">
        <f t="shared" si="9"/>
        <v>95553.294088879338</v>
      </c>
    </row>
    <row r="35" spans="1:18" x14ac:dyDescent="0.25">
      <c r="A35" s="110">
        <v>4</v>
      </c>
      <c r="B35" s="181">
        <f t="shared" si="4"/>
        <v>45017</v>
      </c>
      <c r="C35" s="201">
        <f t="shared" si="10"/>
        <v>45049</v>
      </c>
      <c r="D35" s="201">
        <f t="shared" si="10"/>
        <v>45070</v>
      </c>
      <c r="E35" s="190" t="s">
        <v>22</v>
      </c>
      <c r="F35" s="146">
        <v>9</v>
      </c>
      <c r="G35" s="183">
        <v>2417</v>
      </c>
      <c r="H35" s="184">
        <f t="shared" si="5"/>
        <v>1716.58</v>
      </c>
      <c r="I35" s="184">
        <f t="shared" si="1"/>
        <v>1750.02</v>
      </c>
      <c r="J35" s="185">
        <f t="shared" si="2"/>
        <v>4229798.34</v>
      </c>
      <c r="K35" s="186">
        <f t="shared" si="11"/>
        <v>4148973.86</v>
      </c>
      <c r="L35" s="187">
        <f t="shared" ref="L35:L57" si="12">+J35-K35</f>
        <v>80824.479999999981</v>
      </c>
      <c r="M35" s="188">
        <f t="shared" si="7"/>
        <v>6624.3317428327355</v>
      </c>
      <c r="N35" s="189">
        <f t="shared" si="8"/>
        <v>87448.81174283271</v>
      </c>
      <c r="O35" s="188">
        <v>0</v>
      </c>
      <c r="P35" s="188">
        <v>0</v>
      </c>
      <c r="Q35" s="188">
        <v>0</v>
      </c>
      <c r="R35" s="189">
        <f t="shared" si="9"/>
        <v>87448.81174283271</v>
      </c>
    </row>
    <row r="36" spans="1:18" x14ac:dyDescent="0.25">
      <c r="A36" s="146">
        <v>5</v>
      </c>
      <c r="B36" s="181">
        <f t="shared" si="4"/>
        <v>45047</v>
      </c>
      <c r="C36" s="201">
        <f t="shared" si="10"/>
        <v>45082</v>
      </c>
      <c r="D36" s="201">
        <f t="shared" si="10"/>
        <v>45103</v>
      </c>
      <c r="E36" s="52" t="s">
        <v>22</v>
      </c>
      <c r="F36" s="146">
        <v>9</v>
      </c>
      <c r="G36" s="183">
        <v>2844</v>
      </c>
      <c r="H36" s="184">
        <f t="shared" si="5"/>
        <v>1716.58</v>
      </c>
      <c r="I36" s="184">
        <f t="shared" si="1"/>
        <v>1750.02</v>
      </c>
      <c r="J36" s="185">
        <f t="shared" si="2"/>
        <v>4977056.88</v>
      </c>
      <c r="K36" s="186">
        <f t="shared" si="11"/>
        <v>4881953.5199999996</v>
      </c>
      <c r="L36" s="187">
        <f t="shared" si="12"/>
        <v>95103.360000000335</v>
      </c>
      <c r="M36" s="188">
        <f t="shared" si="7"/>
        <v>7794.6212149839885</v>
      </c>
      <c r="N36" s="189">
        <f t="shared" si="8"/>
        <v>102897.98121498432</v>
      </c>
      <c r="O36" s="188">
        <v>0</v>
      </c>
      <c r="P36" s="188">
        <v>0</v>
      </c>
      <c r="Q36" s="188">
        <v>0</v>
      </c>
      <c r="R36" s="189">
        <f t="shared" si="9"/>
        <v>102897.98121498432</v>
      </c>
    </row>
    <row r="37" spans="1:18" x14ac:dyDescent="0.25">
      <c r="A37" s="146">
        <v>6</v>
      </c>
      <c r="B37" s="181">
        <f t="shared" si="4"/>
        <v>45078</v>
      </c>
      <c r="C37" s="201">
        <f t="shared" si="10"/>
        <v>45112</v>
      </c>
      <c r="D37" s="201">
        <f t="shared" si="10"/>
        <v>45131</v>
      </c>
      <c r="E37" s="52" t="s">
        <v>22</v>
      </c>
      <c r="F37" s="146">
        <v>9</v>
      </c>
      <c r="G37" s="183">
        <v>3500</v>
      </c>
      <c r="H37" s="184">
        <f t="shared" si="5"/>
        <v>1716.58</v>
      </c>
      <c r="I37" s="184">
        <f t="shared" si="1"/>
        <v>1750.02</v>
      </c>
      <c r="J37" s="185">
        <f t="shared" si="2"/>
        <v>6125070</v>
      </c>
      <c r="K37" s="186">
        <f t="shared" si="11"/>
        <v>6008030</v>
      </c>
      <c r="L37" s="191">
        <f t="shared" si="12"/>
        <v>117040</v>
      </c>
      <c r="M37" s="188">
        <f t="shared" si="7"/>
        <v>9592.5366569774833</v>
      </c>
      <c r="N37" s="189">
        <f t="shared" si="8"/>
        <v>126632.53665697748</v>
      </c>
      <c r="O37" s="188">
        <v>0</v>
      </c>
      <c r="P37" s="188">
        <v>0</v>
      </c>
      <c r="Q37" s="188">
        <v>0</v>
      </c>
      <c r="R37" s="189">
        <f t="shared" si="9"/>
        <v>126632.53665697748</v>
      </c>
    </row>
    <row r="38" spans="1:18" x14ac:dyDescent="0.25">
      <c r="A38" s="110">
        <v>7</v>
      </c>
      <c r="B38" s="181">
        <f t="shared" si="4"/>
        <v>45108</v>
      </c>
      <c r="C38" s="201">
        <f t="shared" si="10"/>
        <v>45141</v>
      </c>
      <c r="D38" s="201">
        <f t="shared" si="10"/>
        <v>45162</v>
      </c>
      <c r="E38" s="52" t="s">
        <v>22</v>
      </c>
      <c r="F38" s="146">
        <v>9</v>
      </c>
      <c r="G38" s="183">
        <v>3569</v>
      </c>
      <c r="H38" s="184">
        <f t="shared" si="5"/>
        <v>1716.58</v>
      </c>
      <c r="I38" s="184">
        <f t="shared" si="1"/>
        <v>1750.02</v>
      </c>
      <c r="J38" s="185">
        <f t="shared" si="2"/>
        <v>6245821.3799999999</v>
      </c>
      <c r="K38" s="192">
        <f t="shared" si="11"/>
        <v>6126474.0199999996</v>
      </c>
      <c r="L38" s="191">
        <f t="shared" si="12"/>
        <v>119347.36000000034</v>
      </c>
      <c r="M38" s="188">
        <f t="shared" si="7"/>
        <v>9781.6466653578973</v>
      </c>
      <c r="N38" s="189">
        <f t="shared" si="8"/>
        <v>129129.00666535823</v>
      </c>
      <c r="O38" s="188">
        <v>0</v>
      </c>
      <c r="P38" s="188">
        <v>0</v>
      </c>
      <c r="Q38" s="188">
        <v>0</v>
      </c>
      <c r="R38" s="189">
        <f t="shared" si="9"/>
        <v>129129.00666535823</v>
      </c>
    </row>
    <row r="39" spans="1:18" x14ac:dyDescent="0.25">
      <c r="A39" s="146">
        <v>8</v>
      </c>
      <c r="B39" s="181">
        <f t="shared" si="4"/>
        <v>45139</v>
      </c>
      <c r="C39" s="201">
        <f t="shared" si="10"/>
        <v>45174</v>
      </c>
      <c r="D39" s="201">
        <f t="shared" si="10"/>
        <v>45194</v>
      </c>
      <c r="E39" s="52" t="s">
        <v>22</v>
      </c>
      <c r="F39" s="146">
        <v>9</v>
      </c>
      <c r="G39" s="183">
        <v>3766</v>
      </c>
      <c r="H39" s="184">
        <f t="shared" si="5"/>
        <v>1716.58</v>
      </c>
      <c r="I39" s="184">
        <f t="shared" si="1"/>
        <v>1750.02</v>
      </c>
      <c r="J39" s="185">
        <f t="shared" si="2"/>
        <v>6590575.3200000003</v>
      </c>
      <c r="K39" s="192">
        <f t="shared" si="11"/>
        <v>6464640.2799999993</v>
      </c>
      <c r="L39" s="191">
        <f t="shared" si="12"/>
        <v>125935.04000000097</v>
      </c>
      <c r="M39" s="188">
        <f t="shared" si="7"/>
        <v>10321.56944290777</v>
      </c>
      <c r="N39" s="189">
        <f t="shared" si="8"/>
        <v>136256.60944290872</v>
      </c>
      <c r="O39" s="188">
        <v>0</v>
      </c>
      <c r="P39" s="188">
        <v>0</v>
      </c>
      <c r="Q39" s="188">
        <v>0</v>
      </c>
      <c r="R39" s="189">
        <f t="shared" si="9"/>
        <v>136256.60944290872</v>
      </c>
    </row>
    <row r="40" spans="1:18" x14ac:dyDescent="0.25">
      <c r="A40" s="146">
        <v>9</v>
      </c>
      <c r="B40" s="181">
        <f t="shared" si="4"/>
        <v>45170</v>
      </c>
      <c r="C40" s="201">
        <f t="shared" si="10"/>
        <v>45203</v>
      </c>
      <c r="D40" s="201">
        <f t="shared" si="10"/>
        <v>45223</v>
      </c>
      <c r="E40" s="52" t="s">
        <v>22</v>
      </c>
      <c r="F40" s="146">
        <v>9</v>
      </c>
      <c r="G40" s="183">
        <v>3456</v>
      </c>
      <c r="H40" s="184">
        <f t="shared" si="5"/>
        <v>1716.58</v>
      </c>
      <c r="I40" s="184">
        <f t="shared" si="1"/>
        <v>1750.02</v>
      </c>
      <c r="J40" s="185">
        <f t="shared" si="2"/>
        <v>6048069.1200000001</v>
      </c>
      <c r="K40" s="192">
        <f t="shared" si="11"/>
        <v>5932500.4799999995</v>
      </c>
      <c r="L40" s="191">
        <f t="shared" si="12"/>
        <v>115568.6400000006</v>
      </c>
      <c r="M40" s="188">
        <f t="shared" si="7"/>
        <v>9471.9447675754818</v>
      </c>
      <c r="N40" s="189">
        <f t="shared" si="8"/>
        <v>125040.58476757607</v>
      </c>
      <c r="O40" s="188">
        <v>0</v>
      </c>
      <c r="P40" s="188">
        <v>0</v>
      </c>
      <c r="Q40" s="188">
        <v>0</v>
      </c>
      <c r="R40" s="189">
        <f t="shared" si="9"/>
        <v>125040.58476757607</v>
      </c>
    </row>
    <row r="41" spans="1:18" x14ac:dyDescent="0.25">
      <c r="A41" s="110">
        <v>10</v>
      </c>
      <c r="B41" s="181">
        <f t="shared" si="4"/>
        <v>45200</v>
      </c>
      <c r="C41" s="201">
        <f t="shared" si="10"/>
        <v>45233</v>
      </c>
      <c r="D41" s="201">
        <f t="shared" si="10"/>
        <v>45254</v>
      </c>
      <c r="E41" s="52" t="s">
        <v>22</v>
      </c>
      <c r="F41" s="146">
        <v>9</v>
      </c>
      <c r="G41" s="183">
        <v>2810</v>
      </c>
      <c r="H41" s="184">
        <f t="shared" si="5"/>
        <v>1716.58</v>
      </c>
      <c r="I41" s="184">
        <f t="shared" si="1"/>
        <v>1750.02</v>
      </c>
      <c r="J41" s="185">
        <f t="shared" si="2"/>
        <v>4917556.2</v>
      </c>
      <c r="K41" s="192">
        <f t="shared" si="11"/>
        <v>4823589.8</v>
      </c>
      <c r="L41" s="191">
        <f t="shared" si="12"/>
        <v>93966.400000000373</v>
      </c>
      <c r="M41" s="188">
        <f t="shared" si="7"/>
        <v>7701.4365731733506</v>
      </c>
      <c r="N41" s="189">
        <f t="shared" si="8"/>
        <v>101667.83657317373</v>
      </c>
      <c r="O41" s="188">
        <v>0</v>
      </c>
      <c r="P41" s="188">
        <v>0</v>
      </c>
      <c r="Q41" s="188">
        <v>0</v>
      </c>
      <c r="R41" s="189">
        <f t="shared" si="9"/>
        <v>101667.83657317373</v>
      </c>
    </row>
    <row r="42" spans="1:18" x14ac:dyDescent="0.25">
      <c r="A42" s="146">
        <v>11</v>
      </c>
      <c r="B42" s="181">
        <f t="shared" si="4"/>
        <v>45231</v>
      </c>
      <c r="C42" s="201">
        <f t="shared" si="10"/>
        <v>45266</v>
      </c>
      <c r="D42" s="201">
        <f t="shared" si="10"/>
        <v>45285</v>
      </c>
      <c r="E42" s="52" t="s">
        <v>22</v>
      </c>
      <c r="F42" s="146">
        <v>9</v>
      </c>
      <c r="G42" s="183">
        <v>2499</v>
      </c>
      <c r="H42" s="184">
        <f t="shared" si="5"/>
        <v>1716.58</v>
      </c>
      <c r="I42" s="184">
        <f t="shared" si="1"/>
        <v>1750.02</v>
      </c>
      <c r="J42" s="185">
        <f t="shared" si="2"/>
        <v>4373299.9799999995</v>
      </c>
      <c r="K42" s="192">
        <f t="shared" si="11"/>
        <v>4289733.42</v>
      </c>
      <c r="L42" s="191">
        <f t="shared" si="12"/>
        <v>83566.55999999959</v>
      </c>
      <c r="M42" s="188">
        <f t="shared" si="7"/>
        <v>6849.071173081923</v>
      </c>
      <c r="N42" s="189">
        <f t="shared" si="8"/>
        <v>90415.631173081507</v>
      </c>
      <c r="O42" s="188">
        <v>0</v>
      </c>
      <c r="P42" s="188">
        <v>0</v>
      </c>
      <c r="Q42" s="188">
        <v>0</v>
      </c>
      <c r="R42" s="189">
        <f t="shared" si="9"/>
        <v>90415.631173081507</v>
      </c>
    </row>
    <row r="43" spans="1:18" x14ac:dyDescent="0.25">
      <c r="A43" s="146">
        <v>12</v>
      </c>
      <c r="B43" s="181">
        <f t="shared" si="4"/>
        <v>45261</v>
      </c>
      <c r="C43" s="201">
        <f t="shared" si="10"/>
        <v>45294</v>
      </c>
      <c r="D43" s="201">
        <f t="shared" si="10"/>
        <v>45315</v>
      </c>
      <c r="E43" s="52" t="s">
        <v>22</v>
      </c>
      <c r="F43" s="146">
        <v>9</v>
      </c>
      <c r="G43" s="183">
        <v>2532</v>
      </c>
      <c r="H43" s="193">
        <f t="shared" si="5"/>
        <v>1716.58</v>
      </c>
      <c r="I43" s="193">
        <f t="shared" si="1"/>
        <v>1750.02</v>
      </c>
      <c r="J43" s="194">
        <f t="shared" si="2"/>
        <v>4431050.6399999997</v>
      </c>
      <c r="K43" s="195">
        <f t="shared" si="11"/>
        <v>4346380.5599999996</v>
      </c>
      <c r="L43" s="196">
        <f t="shared" si="12"/>
        <v>84670.080000000075</v>
      </c>
      <c r="M43" s="188">
        <f t="shared" si="7"/>
        <v>6939.5150901334246</v>
      </c>
      <c r="N43" s="189">
        <f t="shared" si="8"/>
        <v>91609.595090133502</v>
      </c>
      <c r="O43" s="188">
        <v>0</v>
      </c>
      <c r="P43" s="188">
        <v>0</v>
      </c>
      <c r="Q43" s="188">
        <v>0</v>
      </c>
      <c r="R43" s="189">
        <f t="shared" si="9"/>
        <v>91609.595090133502</v>
      </c>
    </row>
    <row r="44" spans="1:18" x14ac:dyDescent="0.25">
      <c r="A44" s="110">
        <v>1</v>
      </c>
      <c r="B44" s="197">
        <f t="shared" ref="B44:B55" si="13">DATE($R$1,A44,1)</f>
        <v>44927</v>
      </c>
      <c r="C44" s="198">
        <f t="shared" ref="C44:D55" si="14">+C32</f>
        <v>44960</v>
      </c>
      <c r="D44" s="198">
        <f t="shared" si="14"/>
        <v>44981</v>
      </c>
      <c r="E44" s="199" t="s">
        <v>81</v>
      </c>
      <c r="F44" s="200">
        <v>9</v>
      </c>
      <c r="G44" s="183">
        <v>137</v>
      </c>
      <c r="H44" s="184">
        <f t="shared" si="5"/>
        <v>1716.58</v>
      </c>
      <c r="I44" s="184">
        <f t="shared" si="1"/>
        <v>1750.02</v>
      </c>
      <c r="J44" s="188">
        <f t="shared" ref="J44:J55" si="15">+$G44*I44</f>
        <v>239752.74</v>
      </c>
      <c r="K44" s="192">
        <f t="shared" ref="K44:K55" si="16">+$G44*H44</f>
        <v>235171.46</v>
      </c>
      <c r="L44" s="191">
        <f t="shared" ref="L44:L55" si="17">+J44-K44</f>
        <v>4581.2799999999988</v>
      </c>
      <c r="M44" s="188">
        <f t="shared" si="7"/>
        <v>375.47929200169</v>
      </c>
      <c r="N44" s="189">
        <f t="shared" si="8"/>
        <v>4956.7592920016887</v>
      </c>
      <c r="O44" s="188">
        <v>0</v>
      </c>
      <c r="P44" s="188">
        <v>0</v>
      </c>
      <c r="Q44" s="188">
        <v>0</v>
      </c>
      <c r="R44" s="189">
        <f t="shared" si="9"/>
        <v>4956.7592920016887</v>
      </c>
    </row>
    <row r="45" spans="1:18" x14ac:dyDescent="0.25">
      <c r="A45" s="146">
        <v>2</v>
      </c>
      <c r="B45" s="181">
        <f t="shared" si="13"/>
        <v>44958</v>
      </c>
      <c r="C45" s="201">
        <f t="shared" si="14"/>
        <v>44988</v>
      </c>
      <c r="D45" s="201">
        <f t="shared" si="14"/>
        <v>45009</v>
      </c>
      <c r="E45" s="190" t="s">
        <v>81</v>
      </c>
      <c r="F45" s="146">
        <v>9</v>
      </c>
      <c r="G45" s="183">
        <v>132</v>
      </c>
      <c r="H45" s="184">
        <f t="shared" si="5"/>
        <v>1716.58</v>
      </c>
      <c r="I45" s="184">
        <f t="shared" si="1"/>
        <v>1750.02</v>
      </c>
      <c r="J45" s="188">
        <f t="shared" si="15"/>
        <v>231002.63999999998</v>
      </c>
      <c r="K45" s="192">
        <f t="shared" si="16"/>
        <v>226588.56</v>
      </c>
      <c r="L45" s="191">
        <f t="shared" si="17"/>
        <v>4414.0799999999872</v>
      </c>
      <c r="M45" s="188">
        <f t="shared" si="7"/>
        <v>361.77566820600794</v>
      </c>
      <c r="N45" s="189">
        <f t="shared" si="8"/>
        <v>4775.8556682059952</v>
      </c>
      <c r="O45" s="188">
        <v>0</v>
      </c>
      <c r="P45" s="188">
        <v>0</v>
      </c>
      <c r="Q45" s="188">
        <v>0</v>
      </c>
      <c r="R45" s="189">
        <f t="shared" si="9"/>
        <v>4775.8556682059952</v>
      </c>
    </row>
    <row r="46" spans="1:18" x14ac:dyDescent="0.25">
      <c r="A46" s="146">
        <v>3</v>
      </c>
      <c r="B46" s="181">
        <f t="shared" si="13"/>
        <v>44986</v>
      </c>
      <c r="C46" s="201">
        <f t="shared" si="14"/>
        <v>45021</v>
      </c>
      <c r="D46" s="201">
        <f t="shared" si="14"/>
        <v>45040</v>
      </c>
      <c r="E46" s="190" t="s">
        <v>81</v>
      </c>
      <c r="F46" s="146">
        <v>9</v>
      </c>
      <c r="G46" s="183">
        <v>148</v>
      </c>
      <c r="H46" s="184">
        <f t="shared" si="5"/>
        <v>1716.58</v>
      </c>
      <c r="I46" s="184">
        <f t="shared" si="1"/>
        <v>1750.02</v>
      </c>
      <c r="J46" s="188">
        <f t="shared" si="15"/>
        <v>259002.96</v>
      </c>
      <c r="K46" s="192">
        <f t="shared" si="16"/>
        <v>254053.84</v>
      </c>
      <c r="L46" s="191">
        <f t="shared" si="17"/>
        <v>4949.1199999999953</v>
      </c>
      <c r="M46" s="188">
        <f t="shared" si="7"/>
        <v>405.62726435219071</v>
      </c>
      <c r="N46" s="189">
        <f t="shared" si="8"/>
        <v>5354.747264352186</v>
      </c>
      <c r="O46" s="188">
        <v>0</v>
      </c>
      <c r="P46" s="188">
        <v>0</v>
      </c>
      <c r="Q46" s="188">
        <v>0</v>
      </c>
      <c r="R46" s="189">
        <f t="shared" si="9"/>
        <v>5354.747264352186</v>
      </c>
    </row>
    <row r="47" spans="1:18" x14ac:dyDescent="0.25">
      <c r="A47" s="110">
        <v>4</v>
      </c>
      <c r="B47" s="181">
        <f t="shared" si="13"/>
        <v>45017</v>
      </c>
      <c r="C47" s="201">
        <f t="shared" si="14"/>
        <v>45049</v>
      </c>
      <c r="D47" s="201">
        <f t="shared" si="14"/>
        <v>45070</v>
      </c>
      <c r="E47" s="190" t="s">
        <v>81</v>
      </c>
      <c r="F47" s="146">
        <v>9</v>
      </c>
      <c r="G47" s="183">
        <v>92</v>
      </c>
      <c r="H47" s="184">
        <f t="shared" si="5"/>
        <v>1716.58</v>
      </c>
      <c r="I47" s="184">
        <f t="shared" si="1"/>
        <v>1750.02</v>
      </c>
      <c r="J47" s="188">
        <f t="shared" si="15"/>
        <v>161001.84</v>
      </c>
      <c r="K47" s="192">
        <f t="shared" si="16"/>
        <v>157925.35999999999</v>
      </c>
      <c r="L47" s="191">
        <f t="shared" si="17"/>
        <v>3076.4800000000105</v>
      </c>
      <c r="M47" s="188">
        <f t="shared" si="7"/>
        <v>252.14667784055098</v>
      </c>
      <c r="N47" s="189">
        <f t="shared" si="8"/>
        <v>3328.6266778405616</v>
      </c>
      <c r="O47" s="188">
        <v>0</v>
      </c>
      <c r="P47" s="188">
        <v>0</v>
      </c>
      <c r="Q47" s="188">
        <v>0</v>
      </c>
      <c r="R47" s="189">
        <f t="shared" si="9"/>
        <v>3328.6266778405616</v>
      </c>
    </row>
    <row r="48" spans="1:18" x14ac:dyDescent="0.25">
      <c r="A48" s="146">
        <v>5</v>
      </c>
      <c r="B48" s="181">
        <f t="shared" si="13"/>
        <v>45047</v>
      </c>
      <c r="C48" s="201">
        <f t="shared" si="14"/>
        <v>45082</v>
      </c>
      <c r="D48" s="201">
        <f t="shared" si="14"/>
        <v>45103</v>
      </c>
      <c r="E48" s="190" t="s">
        <v>81</v>
      </c>
      <c r="F48" s="146">
        <v>9</v>
      </c>
      <c r="G48" s="183">
        <v>104</v>
      </c>
      <c r="H48" s="184">
        <f t="shared" si="5"/>
        <v>1716.58</v>
      </c>
      <c r="I48" s="184">
        <f t="shared" si="1"/>
        <v>1750.02</v>
      </c>
      <c r="J48" s="188">
        <f t="shared" si="15"/>
        <v>182002.08</v>
      </c>
      <c r="K48" s="192">
        <f t="shared" si="16"/>
        <v>178524.32</v>
      </c>
      <c r="L48" s="191">
        <f t="shared" si="17"/>
        <v>3477.7599999999802</v>
      </c>
      <c r="M48" s="188">
        <f t="shared" si="7"/>
        <v>285.03537495018804</v>
      </c>
      <c r="N48" s="189">
        <f t="shared" si="8"/>
        <v>3762.7953749501685</v>
      </c>
      <c r="O48" s="188">
        <v>0</v>
      </c>
      <c r="P48" s="188">
        <v>0</v>
      </c>
      <c r="Q48" s="188">
        <v>0</v>
      </c>
      <c r="R48" s="189">
        <f t="shared" si="9"/>
        <v>3762.7953749501685</v>
      </c>
    </row>
    <row r="49" spans="1:18" x14ac:dyDescent="0.25">
      <c r="A49" s="146">
        <v>6</v>
      </c>
      <c r="B49" s="181">
        <f t="shared" si="13"/>
        <v>45078</v>
      </c>
      <c r="C49" s="201">
        <f t="shared" si="14"/>
        <v>45112</v>
      </c>
      <c r="D49" s="201">
        <f t="shared" si="14"/>
        <v>45131</v>
      </c>
      <c r="E49" s="190" t="s">
        <v>81</v>
      </c>
      <c r="F49" s="146">
        <v>9</v>
      </c>
      <c r="G49" s="183">
        <v>156</v>
      </c>
      <c r="H49" s="184">
        <f t="shared" si="5"/>
        <v>1716.58</v>
      </c>
      <c r="I49" s="184">
        <f t="shared" si="1"/>
        <v>1750.02</v>
      </c>
      <c r="J49" s="188">
        <f t="shared" si="15"/>
        <v>273003.12</v>
      </c>
      <c r="K49" s="192">
        <f t="shared" si="16"/>
        <v>267786.48</v>
      </c>
      <c r="L49" s="191">
        <f t="shared" si="17"/>
        <v>5216.640000000014</v>
      </c>
      <c r="M49" s="188">
        <f t="shared" si="7"/>
        <v>427.55306242528212</v>
      </c>
      <c r="N49" s="189">
        <f t="shared" si="8"/>
        <v>5644.1930624252964</v>
      </c>
      <c r="O49" s="188">
        <v>0</v>
      </c>
      <c r="P49" s="188">
        <v>0</v>
      </c>
      <c r="Q49" s="188">
        <v>0</v>
      </c>
      <c r="R49" s="189">
        <f t="shared" si="9"/>
        <v>5644.1930624252964</v>
      </c>
    </row>
    <row r="50" spans="1:18" x14ac:dyDescent="0.25">
      <c r="A50" s="110">
        <v>7</v>
      </c>
      <c r="B50" s="181">
        <f t="shared" si="13"/>
        <v>45108</v>
      </c>
      <c r="C50" s="201">
        <f t="shared" si="14"/>
        <v>45141</v>
      </c>
      <c r="D50" s="201">
        <f t="shared" si="14"/>
        <v>45162</v>
      </c>
      <c r="E50" s="190" t="s">
        <v>81</v>
      </c>
      <c r="F50" s="146">
        <v>9</v>
      </c>
      <c r="G50" s="183">
        <v>155</v>
      </c>
      <c r="H50" s="184">
        <f t="shared" si="5"/>
        <v>1716.58</v>
      </c>
      <c r="I50" s="184">
        <f t="shared" si="1"/>
        <v>1750.02</v>
      </c>
      <c r="J50" s="188">
        <f t="shared" si="15"/>
        <v>271253.09999999998</v>
      </c>
      <c r="K50" s="192">
        <f t="shared" si="16"/>
        <v>266069.89999999997</v>
      </c>
      <c r="L50" s="191">
        <f t="shared" si="17"/>
        <v>5183.2000000000116</v>
      </c>
      <c r="M50" s="188">
        <f t="shared" si="7"/>
        <v>424.81233766614565</v>
      </c>
      <c r="N50" s="189">
        <f t="shared" si="8"/>
        <v>5608.0123376661577</v>
      </c>
      <c r="O50" s="188">
        <v>0</v>
      </c>
      <c r="P50" s="188">
        <v>0</v>
      </c>
      <c r="Q50" s="188">
        <v>0</v>
      </c>
      <c r="R50" s="189">
        <f t="shared" si="9"/>
        <v>5608.0123376661577</v>
      </c>
    </row>
    <row r="51" spans="1:18" x14ac:dyDescent="0.25">
      <c r="A51" s="146">
        <v>8</v>
      </c>
      <c r="B51" s="181">
        <f t="shared" si="13"/>
        <v>45139</v>
      </c>
      <c r="C51" s="201">
        <f t="shared" si="14"/>
        <v>45174</v>
      </c>
      <c r="D51" s="201">
        <f t="shared" si="14"/>
        <v>45194</v>
      </c>
      <c r="E51" s="190" t="s">
        <v>81</v>
      </c>
      <c r="F51" s="146">
        <v>9</v>
      </c>
      <c r="G51" s="183">
        <v>159</v>
      </c>
      <c r="H51" s="184">
        <f t="shared" si="5"/>
        <v>1716.58</v>
      </c>
      <c r="I51" s="184">
        <f t="shared" si="1"/>
        <v>1750.02</v>
      </c>
      <c r="J51" s="188">
        <f t="shared" si="15"/>
        <v>278253.18</v>
      </c>
      <c r="K51" s="192">
        <f t="shared" si="16"/>
        <v>272936.21999999997</v>
      </c>
      <c r="L51" s="191">
        <f t="shared" si="17"/>
        <v>5316.960000000021</v>
      </c>
      <c r="M51" s="188">
        <f t="shared" si="7"/>
        <v>435.77523670269136</v>
      </c>
      <c r="N51" s="189">
        <f t="shared" si="8"/>
        <v>5752.7352367027124</v>
      </c>
      <c r="O51" s="188">
        <v>0</v>
      </c>
      <c r="P51" s="188">
        <v>0</v>
      </c>
      <c r="Q51" s="188">
        <v>0</v>
      </c>
      <c r="R51" s="189">
        <f t="shared" si="9"/>
        <v>5752.7352367027124</v>
      </c>
    </row>
    <row r="52" spans="1:18" x14ac:dyDescent="0.25">
      <c r="A52" s="146">
        <v>9</v>
      </c>
      <c r="B52" s="181">
        <f t="shared" si="13"/>
        <v>45170</v>
      </c>
      <c r="C52" s="201">
        <f t="shared" si="14"/>
        <v>45203</v>
      </c>
      <c r="D52" s="201">
        <f t="shared" si="14"/>
        <v>45223</v>
      </c>
      <c r="E52" s="190" t="s">
        <v>81</v>
      </c>
      <c r="F52" s="146">
        <v>9</v>
      </c>
      <c r="G52" s="183">
        <v>144</v>
      </c>
      <c r="H52" s="184">
        <f t="shared" si="5"/>
        <v>1716.58</v>
      </c>
      <c r="I52" s="184">
        <f t="shared" si="1"/>
        <v>1750.02</v>
      </c>
      <c r="J52" s="188">
        <f t="shared" si="15"/>
        <v>252002.88</v>
      </c>
      <c r="K52" s="192">
        <f t="shared" si="16"/>
        <v>247187.52</v>
      </c>
      <c r="L52" s="191">
        <f t="shared" si="17"/>
        <v>4815.3600000000151</v>
      </c>
      <c r="M52" s="188">
        <f t="shared" si="7"/>
        <v>394.664365315645</v>
      </c>
      <c r="N52" s="189">
        <f t="shared" si="8"/>
        <v>5210.0243653156604</v>
      </c>
      <c r="O52" s="188">
        <v>0</v>
      </c>
      <c r="P52" s="188">
        <v>0</v>
      </c>
      <c r="Q52" s="188">
        <v>0</v>
      </c>
      <c r="R52" s="189">
        <f t="shared" si="9"/>
        <v>5210.0243653156604</v>
      </c>
    </row>
    <row r="53" spans="1:18" x14ac:dyDescent="0.25">
      <c r="A53" s="110">
        <v>10</v>
      </c>
      <c r="B53" s="181">
        <f t="shared" si="13"/>
        <v>45200</v>
      </c>
      <c r="C53" s="201">
        <f t="shared" si="14"/>
        <v>45233</v>
      </c>
      <c r="D53" s="201">
        <f t="shared" si="14"/>
        <v>45254</v>
      </c>
      <c r="E53" s="190" t="s">
        <v>81</v>
      </c>
      <c r="F53" s="146">
        <v>9</v>
      </c>
      <c r="G53" s="183">
        <v>117</v>
      </c>
      <c r="H53" s="184">
        <f t="shared" si="5"/>
        <v>1716.58</v>
      </c>
      <c r="I53" s="184">
        <f t="shared" si="1"/>
        <v>1750.02</v>
      </c>
      <c r="J53" s="188">
        <f t="shared" si="15"/>
        <v>204752.34</v>
      </c>
      <c r="K53" s="192">
        <f t="shared" si="16"/>
        <v>200839.86</v>
      </c>
      <c r="L53" s="191">
        <f t="shared" si="17"/>
        <v>3912.4800000000105</v>
      </c>
      <c r="M53" s="188">
        <f t="shared" si="7"/>
        <v>320.66479681896158</v>
      </c>
      <c r="N53" s="189">
        <f t="shared" si="8"/>
        <v>4233.1447968189723</v>
      </c>
      <c r="O53" s="188">
        <v>0</v>
      </c>
      <c r="P53" s="188">
        <v>0</v>
      </c>
      <c r="Q53" s="188">
        <v>0</v>
      </c>
      <c r="R53" s="189">
        <f t="shared" si="9"/>
        <v>4233.1447968189723</v>
      </c>
    </row>
    <row r="54" spans="1:18" x14ac:dyDescent="0.25">
      <c r="A54" s="146">
        <v>11</v>
      </c>
      <c r="B54" s="181">
        <f t="shared" si="13"/>
        <v>45231</v>
      </c>
      <c r="C54" s="201">
        <f t="shared" si="14"/>
        <v>45266</v>
      </c>
      <c r="D54" s="201">
        <f t="shared" si="14"/>
        <v>45285</v>
      </c>
      <c r="E54" s="190" t="s">
        <v>81</v>
      </c>
      <c r="F54" s="146">
        <v>9</v>
      </c>
      <c r="G54" s="183">
        <v>134</v>
      </c>
      <c r="H54" s="184">
        <f t="shared" si="5"/>
        <v>1716.58</v>
      </c>
      <c r="I54" s="184">
        <f t="shared" si="1"/>
        <v>1750.02</v>
      </c>
      <c r="J54" s="188">
        <f t="shared" si="15"/>
        <v>234502.68</v>
      </c>
      <c r="K54" s="192">
        <f t="shared" si="16"/>
        <v>230021.72</v>
      </c>
      <c r="L54" s="191">
        <f t="shared" si="17"/>
        <v>4480.9599999999919</v>
      </c>
      <c r="M54" s="188">
        <f t="shared" si="7"/>
        <v>367.25711772428082</v>
      </c>
      <c r="N54" s="189">
        <f t="shared" si="8"/>
        <v>4848.2171177242726</v>
      </c>
      <c r="O54" s="188">
        <v>0</v>
      </c>
      <c r="P54" s="188">
        <v>0</v>
      </c>
      <c r="Q54" s="188">
        <v>0</v>
      </c>
      <c r="R54" s="189">
        <f t="shared" si="9"/>
        <v>4848.2171177242726</v>
      </c>
    </row>
    <row r="55" spans="1:18" x14ac:dyDescent="0.25">
      <c r="A55" s="146">
        <v>12</v>
      </c>
      <c r="B55" s="181">
        <f t="shared" si="13"/>
        <v>45261</v>
      </c>
      <c r="C55" s="201">
        <f t="shared" si="14"/>
        <v>45294</v>
      </c>
      <c r="D55" s="201">
        <f t="shared" si="14"/>
        <v>45315</v>
      </c>
      <c r="E55" s="190" t="s">
        <v>81</v>
      </c>
      <c r="F55" s="146">
        <v>9</v>
      </c>
      <c r="G55" s="183">
        <v>145</v>
      </c>
      <c r="H55" s="193">
        <f t="shared" si="5"/>
        <v>1716.58</v>
      </c>
      <c r="I55" s="193">
        <f t="shared" si="1"/>
        <v>1750.02</v>
      </c>
      <c r="J55" s="194">
        <f t="shared" si="15"/>
        <v>253752.9</v>
      </c>
      <c r="K55" s="195">
        <f t="shared" si="16"/>
        <v>248904.09999999998</v>
      </c>
      <c r="L55" s="196">
        <f t="shared" si="17"/>
        <v>4848.8000000000175</v>
      </c>
      <c r="M55" s="188">
        <f t="shared" si="7"/>
        <v>397.40509007478147</v>
      </c>
      <c r="N55" s="189">
        <f t="shared" si="8"/>
        <v>5246.205090074799</v>
      </c>
      <c r="O55" s="188">
        <v>0</v>
      </c>
      <c r="P55" s="188">
        <v>0</v>
      </c>
      <c r="Q55" s="188">
        <v>0</v>
      </c>
      <c r="R55" s="189">
        <f t="shared" si="9"/>
        <v>5246.205090074799</v>
      </c>
    </row>
    <row r="56" spans="1:18" s="202" customFormat="1" x14ac:dyDescent="0.25">
      <c r="A56" s="110">
        <v>1</v>
      </c>
      <c r="B56" s="197">
        <f t="shared" si="4"/>
        <v>44927</v>
      </c>
      <c r="C56" s="198">
        <f t="shared" ref="C56:D67" si="18">+C32</f>
        <v>44960</v>
      </c>
      <c r="D56" s="198">
        <f t="shared" si="18"/>
        <v>44981</v>
      </c>
      <c r="E56" s="199" t="s">
        <v>14</v>
      </c>
      <c r="F56" s="200">
        <v>9</v>
      </c>
      <c r="G56" s="183">
        <v>828</v>
      </c>
      <c r="H56" s="184">
        <f t="shared" si="5"/>
        <v>1716.58</v>
      </c>
      <c r="I56" s="184">
        <f t="shared" si="1"/>
        <v>1750.02</v>
      </c>
      <c r="J56" s="185">
        <f t="shared" si="2"/>
        <v>1449016.56</v>
      </c>
      <c r="K56" s="186">
        <f t="shared" si="11"/>
        <v>1421328.24</v>
      </c>
      <c r="L56" s="187">
        <f t="shared" si="12"/>
        <v>27688.320000000065</v>
      </c>
      <c r="M56" s="188">
        <f t="shared" si="7"/>
        <v>2269.3201005649589</v>
      </c>
      <c r="N56" s="189">
        <f t="shared" si="8"/>
        <v>29957.640100565026</v>
      </c>
      <c r="O56" s="188">
        <v>0</v>
      </c>
      <c r="P56" s="188">
        <v>0</v>
      </c>
      <c r="Q56" s="188">
        <v>0</v>
      </c>
      <c r="R56" s="189">
        <f t="shared" si="9"/>
        <v>29957.640100565026</v>
      </c>
    </row>
    <row r="57" spans="1:18" x14ac:dyDescent="0.25">
      <c r="A57" s="146">
        <v>2</v>
      </c>
      <c r="B57" s="181">
        <f t="shared" si="4"/>
        <v>44958</v>
      </c>
      <c r="C57" s="201">
        <f t="shared" si="18"/>
        <v>44988</v>
      </c>
      <c r="D57" s="201">
        <f t="shared" si="18"/>
        <v>45009</v>
      </c>
      <c r="E57" s="190" t="s">
        <v>14</v>
      </c>
      <c r="F57" s="146">
        <v>9</v>
      </c>
      <c r="G57" s="183">
        <v>786</v>
      </c>
      <c r="H57" s="184">
        <f t="shared" si="5"/>
        <v>1716.58</v>
      </c>
      <c r="I57" s="184">
        <f t="shared" si="1"/>
        <v>1750.02</v>
      </c>
      <c r="J57" s="185">
        <f t="shared" si="2"/>
        <v>1375515.72</v>
      </c>
      <c r="K57" s="186">
        <f t="shared" si="11"/>
        <v>1349231.88</v>
      </c>
      <c r="L57" s="187">
        <f t="shared" si="12"/>
        <v>26283.840000000084</v>
      </c>
      <c r="M57" s="188">
        <f t="shared" si="7"/>
        <v>2154.2096606812288</v>
      </c>
      <c r="N57" s="189">
        <f t="shared" si="8"/>
        <v>28438.049660681314</v>
      </c>
      <c r="O57" s="188">
        <v>0</v>
      </c>
      <c r="P57" s="188">
        <v>0</v>
      </c>
      <c r="Q57" s="188">
        <v>0</v>
      </c>
      <c r="R57" s="189">
        <f t="shared" si="9"/>
        <v>28438.049660681314</v>
      </c>
    </row>
    <row r="58" spans="1:18" x14ac:dyDescent="0.25">
      <c r="A58" s="146">
        <v>3</v>
      </c>
      <c r="B58" s="181">
        <f t="shared" si="4"/>
        <v>44986</v>
      </c>
      <c r="C58" s="201">
        <f t="shared" si="18"/>
        <v>45021</v>
      </c>
      <c r="D58" s="201">
        <f t="shared" si="18"/>
        <v>45040</v>
      </c>
      <c r="E58" s="190" t="s">
        <v>14</v>
      </c>
      <c r="F58" s="146">
        <v>9</v>
      </c>
      <c r="G58" s="183">
        <v>702</v>
      </c>
      <c r="H58" s="184">
        <f t="shared" si="5"/>
        <v>1716.58</v>
      </c>
      <c r="I58" s="184">
        <f t="shared" si="1"/>
        <v>1750.02</v>
      </c>
      <c r="J58" s="185">
        <f t="shared" si="2"/>
        <v>1228514.04</v>
      </c>
      <c r="K58" s="186">
        <f t="shared" si="11"/>
        <v>1205039.1599999999</v>
      </c>
      <c r="L58" s="187">
        <f>+J58-K58</f>
        <v>23474.880000000121</v>
      </c>
      <c r="M58" s="188">
        <f t="shared" si="7"/>
        <v>1923.9887809137695</v>
      </c>
      <c r="N58" s="189">
        <f t="shared" si="8"/>
        <v>25398.86878091389</v>
      </c>
      <c r="O58" s="188">
        <v>0</v>
      </c>
      <c r="P58" s="188">
        <v>0</v>
      </c>
      <c r="Q58" s="188">
        <v>0</v>
      </c>
      <c r="R58" s="189">
        <f t="shared" si="9"/>
        <v>25398.86878091389</v>
      </c>
    </row>
    <row r="59" spans="1:18" x14ac:dyDescent="0.25">
      <c r="A59" s="110">
        <v>4</v>
      </c>
      <c r="B59" s="181">
        <f t="shared" si="4"/>
        <v>45017</v>
      </c>
      <c r="C59" s="201">
        <f t="shared" si="18"/>
        <v>45049</v>
      </c>
      <c r="D59" s="201">
        <f t="shared" si="18"/>
        <v>45070</v>
      </c>
      <c r="E59" s="190" t="s">
        <v>14</v>
      </c>
      <c r="F59" s="146">
        <v>9</v>
      </c>
      <c r="G59" s="183">
        <v>519</v>
      </c>
      <c r="H59" s="184">
        <f t="shared" si="5"/>
        <v>1716.58</v>
      </c>
      <c r="I59" s="184">
        <f t="shared" si="1"/>
        <v>1750.02</v>
      </c>
      <c r="J59" s="185">
        <f t="shared" si="2"/>
        <v>908260.38</v>
      </c>
      <c r="K59" s="186">
        <f t="shared" si="11"/>
        <v>890905.02</v>
      </c>
      <c r="L59" s="187">
        <f t="shared" ref="L59:L81" si="19">+J59-K59</f>
        <v>17355.359999999986</v>
      </c>
      <c r="M59" s="188">
        <f t="shared" si="7"/>
        <v>1422.4361499918039</v>
      </c>
      <c r="N59" s="189">
        <f t="shared" si="8"/>
        <v>18777.796149991791</v>
      </c>
      <c r="O59" s="188">
        <v>0</v>
      </c>
      <c r="P59" s="188">
        <v>0</v>
      </c>
      <c r="Q59" s="188">
        <v>0</v>
      </c>
      <c r="R59" s="189">
        <f t="shared" si="9"/>
        <v>18777.796149991791</v>
      </c>
    </row>
    <row r="60" spans="1:18" x14ac:dyDescent="0.25">
      <c r="A60" s="146">
        <v>5</v>
      </c>
      <c r="B60" s="181">
        <f t="shared" si="4"/>
        <v>45047</v>
      </c>
      <c r="C60" s="201">
        <f t="shared" si="18"/>
        <v>45082</v>
      </c>
      <c r="D60" s="201">
        <f t="shared" si="18"/>
        <v>45103</v>
      </c>
      <c r="E60" s="52" t="s">
        <v>14</v>
      </c>
      <c r="F60" s="146">
        <v>9</v>
      </c>
      <c r="G60" s="183">
        <v>720</v>
      </c>
      <c r="H60" s="184">
        <f t="shared" si="5"/>
        <v>1716.58</v>
      </c>
      <c r="I60" s="184">
        <f t="shared" si="1"/>
        <v>1750.02</v>
      </c>
      <c r="J60" s="185">
        <f t="shared" si="2"/>
        <v>1260014.3999999999</v>
      </c>
      <c r="K60" s="186">
        <f t="shared" si="11"/>
        <v>1235937.5999999999</v>
      </c>
      <c r="L60" s="187">
        <f t="shared" si="19"/>
        <v>24076.800000000047</v>
      </c>
      <c r="M60" s="188">
        <f t="shared" si="7"/>
        <v>1973.3218265782252</v>
      </c>
      <c r="N60" s="189">
        <f t="shared" si="8"/>
        <v>26050.121826578274</v>
      </c>
      <c r="O60" s="188">
        <v>0</v>
      </c>
      <c r="P60" s="188">
        <v>0</v>
      </c>
      <c r="Q60" s="188">
        <v>0</v>
      </c>
      <c r="R60" s="189">
        <f t="shared" si="9"/>
        <v>26050.121826578274</v>
      </c>
    </row>
    <row r="61" spans="1:18" x14ac:dyDescent="0.25">
      <c r="A61" s="146">
        <v>6</v>
      </c>
      <c r="B61" s="181">
        <f t="shared" si="4"/>
        <v>45078</v>
      </c>
      <c r="C61" s="201">
        <f t="shared" si="18"/>
        <v>45112</v>
      </c>
      <c r="D61" s="201">
        <f t="shared" si="18"/>
        <v>45131</v>
      </c>
      <c r="E61" s="52" t="s">
        <v>14</v>
      </c>
      <c r="F61" s="146">
        <v>9</v>
      </c>
      <c r="G61" s="183">
        <v>975</v>
      </c>
      <c r="H61" s="184">
        <f t="shared" si="5"/>
        <v>1716.58</v>
      </c>
      <c r="I61" s="184">
        <f t="shared" si="1"/>
        <v>1750.02</v>
      </c>
      <c r="J61" s="185">
        <f t="shared" si="2"/>
        <v>1706269.5</v>
      </c>
      <c r="K61" s="186">
        <f t="shared" si="11"/>
        <v>1673665.5</v>
      </c>
      <c r="L61" s="191">
        <f t="shared" si="19"/>
        <v>32604</v>
      </c>
      <c r="M61" s="188">
        <f t="shared" si="7"/>
        <v>2672.2066401580132</v>
      </c>
      <c r="N61" s="189">
        <f t="shared" si="8"/>
        <v>35276.206640158016</v>
      </c>
      <c r="O61" s="188">
        <v>0</v>
      </c>
      <c r="P61" s="188">
        <v>0</v>
      </c>
      <c r="Q61" s="188">
        <v>0</v>
      </c>
      <c r="R61" s="189">
        <f t="shared" si="9"/>
        <v>35276.206640158016</v>
      </c>
    </row>
    <row r="62" spans="1:18" x14ac:dyDescent="0.25">
      <c r="A62" s="110">
        <v>7</v>
      </c>
      <c r="B62" s="181">
        <f t="shared" si="4"/>
        <v>45108</v>
      </c>
      <c r="C62" s="201">
        <f t="shared" si="18"/>
        <v>45141</v>
      </c>
      <c r="D62" s="201">
        <f t="shared" si="18"/>
        <v>45162</v>
      </c>
      <c r="E62" s="52" t="s">
        <v>14</v>
      </c>
      <c r="F62" s="146">
        <v>9</v>
      </c>
      <c r="G62" s="183">
        <v>924</v>
      </c>
      <c r="H62" s="184">
        <f t="shared" si="5"/>
        <v>1716.58</v>
      </c>
      <c r="I62" s="184">
        <f t="shared" si="1"/>
        <v>1750.02</v>
      </c>
      <c r="J62" s="185">
        <f t="shared" si="2"/>
        <v>1617018.48</v>
      </c>
      <c r="K62" s="192">
        <f t="shared" si="11"/>
        <v>1586119.92</v>
      </c>
      <c r="L62" s="191">
        <f t="shared" si="19"/>
        <v>30898.560000000056</v>
      </c>
      <c r="M62" s="188">
        <f t="shared" si="7"/>
        <v>2532.4296774420554</v>
      </c>
      <c r="N62" s="189">
        <f t="shared" si="8"/>
        <v>33430.989677442114</v>
      </c>
      <c r="O62" s="188">
        <v>0</v>
      </c>
      <c r="P62" s="188">
        <v>0</v>
      </c>
      <c r="Q62" s="188">
        <v>0</v>
      </c>
      <c r="R62" s="189">
        <f t="shared" si="9"/>
        <v>33430.989677442114</v>
      </c>
    </row>
    <row r="63" spans="1:18" x14ac:dyDescent="0.25">
      <c r="A63" s="146">
        <v>8</v>
      </c>
      <c r="B63" s="181">
        <f t="shared" si="4"/>
        <v>45139</v>
      </c>
      <c r="C63" s="201">
        <f t="shared" si="18"/>
        <v>45174</v>
      </c>
      <c r="D63" s="201">
        <f t="shared" si="18"/>
        <v>45194</v>
      </c>
      <c r="E63" s="52" t="s">
        <v>14</v>
      </c>
      <c r="F63" s="146">
        <v>9</v>
      </c>
      <c r="G63" s="183">
        <v>1053</v>
      </c>
      <c r="H63" s="184">
        <f t="shared" si="5"/>
        <v>1716.58</v>
      </c>
      <c r="I63" s="184">
        <f t="shared" si="1"/>
        <v>1750.02</v>
      </c>
      <c r="J63" s="185">
        <f t="shared" si="2"/>
        <v>1842771.06</v>
      </c>
      <c r="K63" s="192">
        <f t="shared" si="11"/>
        <v>1807558.74</v>
      </c>
      <c r="L63" s="191">
        <f t="shared" si="19"/>
        <v>35212.320000000065</v>
      </c>
      <c r="M63" s="188">
        <f t="shared" si="7"/>
        <v>2885.9831713706544</v>
      </c>
      <c r="N63" s="189">
        <f t="shared" si="8"/>
        <v>38098.303171370717</v>
      </c>
      <c r="O63" s="188">
        <v>0</v>
      </c>
      <c r="P63" s="188">
        <v>0</v>
      </c>
      <c r="Q63" s="188">
        <v>0</v>
      </c>
      <c r="R63" s="189">
        <f t="shared" si="9"/>
        <v>38098.303171370717</v>
      </c>
    </row>
    <row r="64" spans="1:18" x14ac:dyDescent="0.25">
      <c r="A64" s="146">
        <v>9</v>
      </c>
      <c r="B64" s="181">
        <f t="shared" si="4"/>
        <v>45170</v>
      </c>
      <c r="C64" s="201">
        <f t="shared" si="18"/>
        <v>45203</v>
      </c>
      <c r="D64" s="201">
        <f t="shared" si="18"/>
        <v>45223</v>
      </c>
      <c r="E64" s="52" t="s">
        <v>14</v>
      </c>
      <c r="F64" s="146">
        <v>9</v>
      </c>
      <c r="G64" s="183">
        <v>905</v>
      </c>
      <c r="H64" s="184">
        <f t="shared" si="5"/>
        <v>1716.58</v>
      </c>
      <c r="I64" s="184">
        <f t="shared" ref="I64:I107" si="20">$J$3</f>
        <v>1750.02</v>
      </c>
      <c r="J64" s="185">
        <f t="shared" si="2"/>
        <v>1583768.1</v>
      </c>
      <c r="K64" s="192">
        <f t="shared" si="11"/>
        <v>1553504.9</v>
      </c>
      <c r="L64" s="191">
        <f t="shared" si="19"/>
        <v>30263.200000000186</v>
      </c>
      <c r="M64" s="188">
        <f t="shared" si="7"/>
        <v>2480.3559070184633</v>
      </c>
      <c r="N64" s="189">
        <f t="shared" si="8"/>
        <v>32743.55590701865</v>
      </c>
      <c r="O64" s="188">
        <v>0</v>
      </c>
      <c r="P64" s="188">
        <v>0</v>
      </c>
      <c r="Q64" s="188">
        <v>0</v>
      </c>
      <c r="R64" s="189">
        <f t="shared" si="9"/>
        <v>32743.55590701865</v>
      </c>
    </row>
    <row r="65" spans="1:18" x14ac:dyDescent="0.25">
      <c r="A65" s="110">
        <v>10</v>
      </c>
      <c r="B65" s="181">
        <f t="shared" si="4"/>
        <v>45200</v>
      </c>
      <c r="C65" s="201">
        <f t="shared" si="18"/>
        <v>45233</v>
      </c>
      <c r="D65" s="201">
        <f t="shared" si="18"/>
        <v>45254</v>
      </c>
      <c r="E65" s="52" t="s">
        <v>14</v>
      </c>
      <c r="F65" s="146">
        <v>9</v>
      </c>
      <c r="G65" s="183">
        <v>694</v>
      </c>
      <c r="H65" s="184">
        <f t="shared" si="5"/>
        <v>1716.58</v>
      </c>
      <c r="I65" s="184">
        <f t="shared" si="20"/>
        <v>1750.02</v>
      </c>
      <c r="J65" s="185">
        <f t="shared" si="2"/>
        <v>1214513.8799999999</v>
      </c>
      <c r="K65" s="192">
        <f t="shared" si="11"/>
        <v>1191306.52</v>
      </c>
      <c r="L65" s="191">
        <f t="shared" si="19"/>
        <v>23207.35999999987</v>
      </c>
      <c r="M65" s="188">
        <f t="shared" si="7"/>
        <v>1902.0629828406782</v>
      </c>
      <c r="N65" s="189">
        <f t="shared" si="8"/>
        <v>25109.422982840548</v>
      </c>
      <c r="O65" s="188">
        <v>0</v>
      </c>
      <c r="P65" s="188">
        <v>0</v>
      </c>
      <c r="Q65" s="188">
        <v>0</v>
      </c>
      <c r="R65" s="189">
        <f t="shared" si="9"/>
        <v>25109.422982840548</v>
      </c>
    </row>
    <row r="66" spans="1:18" x14ac:dyDescent="0.25">
      <c r="A66" s="146">
        <v>11</v>
      </c>
      <c r="B66" s="181">
        <f t="shared" si="4"/>
        <v>45231</v>
      </c>
      <c r="C66" s="201">
        <f t="shared" si="18"/>
        <v>45266</v>
      </c>
      <c r="D66" s="201">
        <f t="shared" si="18"/>
        <v>45285</v>
      </c>
      <c r="E66" s="52" t="s">
        <v>14</v>
      </c>
      <c r="F66" s="146">
        <v>9</v>
      </c>
      <c r="G66" s="183">
        <v>736</v>
      </c>
      <c r="H66" s="184">
        <f t="shared" si="5"/>
        <v>1716.58</v>
      </c>
      <c r="I66" s="184">
        <f t="shared" si="20"/>
        <v>1750.02</v>
      </c>
      <c r="J66" s="185">
        <f t="shared" si="2"/>
        <v>1288014.72</v>
      </c>
      <c r="K66" s="192">
        <f t="shared" si="11"/>
        <v>1263402.8799999999</v>
      </c>
      <c r="L66" s="191">
        <f t="shared" si="19"/>
        <v>24611.840000000084</v>
      </c>
      <c r="M66" s="188">
        <f t="shared" si="7"/>
        <v>2017.1734227244078</v>
      </c>
      <c r="N66" s="189">
        <f t="shared" si="8"/>
        <v>26629.013422724493</v>
      </c>
      <c r="O66" s="188">
        <v>0</v>
      </c>
      <c r="P66" s="188">
        <v>0</v>
      </c>
      <c r="Q66" s="188">
        <v>0</v>
      </c>
      <c r="R66" s="189">
        <f t="shared" si="9"/>
        <v>26629.013422724493</v>
      </c>
    </row>
    <row r="67" spans="1:18" s="205" customFormat="1" x14ac:dyDescent="0.25">
      <c r="A67" s="146">
        <v>12</v>
      </c>
      <c r="B67" s="203">
        <f t="shared" si="4"/>
        <v>45261</v>
      </c>
      <c r="C67" s="201">
        <f t="shared" si="18"/>
        <v>45294</v>
      </c>
      <c r="D67" s="201">
        <f t="shared" si="18"/>
        <v>45315</v>
      </c>
      <c r="E67" s="204" t="s">
        <v>14</v>
      </c>
      <c r="F67" s="157">
        <v>9</v>
      </c>
      <c r="G67" s="183">
        <v>713</v>
      </c>
      <c r="H67" s="193">
        <f t="shared" si="5"/>
        <v>1716.58</v>
      </c>
      <c r="I67" s="193">
        <f t="shared" si="20"/>
        <v>1750.02</v>
      </c>
      <c r="J67" s="194">
        <f t="shared" si="2"/>
        <v>1247764.26</v>
      </c>
      <c r="K67" s="195">
        <f t="shared" si="11"/>
        <v>1223921.54</v>
      </c>
      <c r="L67" s="196">
        <f t="shared" si="19"/>
        <v>23842.719999999972</v>
      </c>
      <c r="M67" s="188">
        <f t="shared" si="7"/>
        <v>1954.1367532642701</v>
      </c>
      <c r="N67" s="189">
        <f t="shared" si="8"/>
        <v>25796.856753264241</v>
      </c>
      <c r="O67" s="188">
        <v>0</v>
      </c>
      <c r="P67" s="188">
        <v>0</v>
      </c>
      <c r="Q67" s="188">
        <v>0</v>
      </c>
      <c r="R67" s="189">
        <f t="shared" si="9"/>
        <v>25796.856753264241</v>
      </c>
    </row>
    <row r="68" spans="1:18" x14ac:dyDescent="0.25">
      <c r="A68" s="110">
        <v>1</v>
      </c>
      <c r="B68" s="181">
        <f t="shared" si="4"/>
        <v>44927</v>
      </c>
      <c r="C68" s="198">
        <f t="shared" ref="C68:D79" si="21">+C56</f>
        <v>44960</v>
      </c>
      <c r="D68" s="198">
        <f t="shared" si="21"/>
        <v>44981</v>
      </c>
      <c r="E68" s="182" t="s">
        <v>83</v>
      </c>
      <c r="F68" s="110">
        <v>9</v>
      </c>
      <c r="G68" s="183">
        <v>44</v>
      </c>
      <c r="H68" s="184">
        <f t="shared" si="5"/>
        <v>1716.58</v>
      </c>
      <c r="I68" s="184">
        <f t="shared" si="20"/>
        <v>1750.02</v>
      </c>
      <c r="J68" s="185">
        <f t="shared" si="2"/>
        <v>77000.88</v>
      </c>
      <c r="K68" s="186">
        <f t="shared" si="11"/>
        <v>75529.51999999999</v>
      </c>
      <c r="L68" s="187">
        <f t="shared" si="19"/>
        <v>1471.3600000000151</v>
      </c>
      <c r="M68" s="188">
        <f t="shared" si="7"/>
        <v>120.59188940200265</v>
      </c>
      <c r="N68" s="189">
        <f t="shared" si="8"/>
        <v>1591.9518894020177</v>
      </c>
      <c r="O68" s="188">
        <v>0</v>
      </c>
      <c r="P68" s="188">
        <v>0</v>
      </c>
      <c r="Q68" s="188">
        <v>0</v>
      </c>
      <c r="R68" s="189">
        <f t="shared" si="9"/>
        <v>1591.9518894020177</v>
      </c>
    </row>
    <row r="69" spans="1:18" x14ac:dyDescent="0.25">
      <c r="A69" s="146">
        <v>2</v>
      </c>
      <c r="B69" s="181">
        <f t="shared" si="4"/>
        <v>44958</v>
      </c>
      <c r="C69" s="201">
        <f t="shared" si="21"/>
        <v>44988</v>
      </c>
      <c r="D69" s="201">
        <f t="shared" si="21"/>
        <v>45009</v>
      </c>
      <c r="E69" s="190" t="s">
        <v>83</v>
      </c>
      <c r="F69" s="146">
        <v>9</v>
      </c>
      <c r="G69" s="183">
        <v>42</v>
      </c>
      <c r="H69" s="184">
        <f t="shared" si="5"/>
        <v>1716.58</v>
      </c>
      <c r="I69" s="184">
        <f t="shared" si="20"/>
        <v>1750.02</v>
      </c>
      <c r="J69" s="185">
        <f t="shared" si="2"/>
        <v>73500.84</v>
      </c>
      <c r="K69" s="186">
        <f t="shared" si="11"/>
        <v>72096.36</v>
      </c>
      <c r="L69" s="187">
        <f t="shared" si="19"/>
        <v>1404.4799999999959</v>
      </c>
      <c r="M69" s="188">
        <f t="shared" si="7"/>
        <v>115.1104398837298</v>
      </c>
      <c r="N69" s="189">
        <f t="shared" si="8"/>
        <v>1519.5904398837258</v>
      </c>
      <c r="O69" s="188">
        <v>0</v>
      </c>
      <c r="P69" s="188">
        <v>0</v>
      </c>
      <c r="Q69" s="188">
        <v>0</v>
      </c>
      <c r="R69" s="189">
        <f t="shared" si="9"/>
        <v>1519.5904398837258</v>
      </c>
    </row>
    <row r="70" spans="1:18" x14ac:dyDescent="0.25">
      <c r="A70" s="146">
        <v>3</v>
      </c>
      <c r="B70" s="181">
        <f t="shared" si="4"/>
        <v>44986</v>
      </c>
      <c r="C70" s="201">
        <f t="shared" si="21"/>
        <v>45021</v>
      </c>
      <c r="D70" s="201">
        <f t="shared" si="21"/>
        <v>45040</v>
      </c>
      <c r="E70" s="190" t="s">
        <v>83</v>
      </c>
      <c r="F70" s="146">
        <v>9</v>
      </c>
      <c r="G70" s="183">
        <v>37</v>
      </c>
      <c r="H70" s="184">
        <f t="shared" si="5"/>
        <v>1716.58</v>
      </c>
      <c r="I70" s="184">
        <f t="shared" si="20"/>
        <v>1750.02</v>
      </c>
      <c r="J70" s="185">
        <f t="shared" si="2"/>
        <v>64750.74</v>
      </c>
      <c r="K70" s="186">
        <f t="shared" si="11"/>
        <v>63513.46</v>
      </c>
      <c r="L70" s="187">
        <f>+J70-K70</f>
        <v>1237.2799999999988</v>
      </c>
      <c r="M70" s="188">
        <f t="shared" si="7"/>
        <v>101.40681608804768</v>
      </c>
      <c r="N70" s="189">
        <f t="shared" si="8"/>
        <v>1338.6868160880465</v>
      </c>
      <c r="O70" s="188">
        <v>0</v>
      </c>
      <c r="P70" s="188">
        <v>0</v>
      </c>
      <c r="Q70" s="188">
        <v>0</v>
      </c>
      <c r="R70" s="189">
        <f t="shared" si="9"/>
        <v>1338.6868160880465</v>
      </c>
    </row>
    <row r="71" spans="1:18" x14ac:dyDescent="0.25">
      <c r="A71" s="110">
        <v>4</v>
      </c>
      <c r="B71" s="181">
        <f t="shared" si="4"/>
        <v>45017</v>
      </c>
      <c r="C71" s="201">
        <f t="shared" si="21"/>
        <v>45049</v>
      </c>
      <c r="D71" s="201">
        <f t="shared" si="21"/>
        <v>45070</v>
      </c>
      <c r="E71" s="190" t="s">
        <v>83</v>
      </c>
      <c r="F71" s="146">
        <v>9</v>
      </c>
      <c r="G71" s="183">
        <v>27</v>
      </c>
      <c r="H71" s="184">
        <f t="shared" si="5"/>
        <v>1716.58</v>
      </c>
      <c r="I71" s="184">
        <f t="shared" si="20"/>
        <v>1750.02</v>
      </c>
      <c r="J71" s="185">
        <f t="shared" si="2"/>
        <v>47250.54</v>
      </c>
      <c r="K71" s="186">
        <f t="shared" si="11"/>
        <v>46347.659999999996</v>
      </c>
      <c r="L71" s="187">
        <f t="shared" ref="L71:L79" si="22">+J71-K71</f>
        <v>902.88000000000466</v>
      </c>
      <c r="M71" s="188">
        <f t="shared" si="7"/>
        <v>73.999568496683452</v>
      </c>
      <c r="N71" s="189">
        <f t="shared" si="8"/>
        <v>976.87956849668808</v>
      </c>
      <c r="O71" s="188">
        <v>0</v>
      </c>
      <c r="P71" s="188">
        <v>0</v>
      </c>
      <c r="Q71" s="188">
        <v>0</v>
      </c>
      <c r="R71" s="189">
        <f t="shared" si="9"/>
        <v>976.87956849668808</v>
      </c>
    </row>
    <row r="72" spans="1:18" x14ac:dyDescent="0.25">
      <c r="A72" s="146">
        <v>5</v>
      </c>
      <c r="B72" s="181">
        <f t="shared" si="4"/>
        <v>45047</v>
      </c>
      <c r="C72" s="201">
        <f t="shared" si="21"/>
        <v>45082</v>
      </c>
      <c r="D72" s="201">
        <f t="shared" si="21"/>
        <v>45103</v>
      </c>
      <c r="E72" s="190" t="s">
        <v>83</v>
      </c>
      <c r="F72" s="146">
        <v>9</v>
      </c>
      <c r="G72" s="183">
        <v>42</v>
      </c>
      <c r="H72" s="184">
        <f t="shared" si="5"/>
        <v>1716.58</v>
      </c>
      <c r="I72" s="184">
        <f t="shared" si="20"/>
        <v>1750.02</v>
      </c>
      <c r="J72" s="185">
        <f t="shared" si="2"/>
        <v>73500.84</v>
      </c>
      <c r="K72" s="186">
        <f t="shared" si="11"/>
        <v>72096.36</v>
      </c>
      <c r="L72" s="187">
        <f t="shared" si="22"/>
        <v>1404.4799999999959</v>
      </c>
      <c r="M72" s="188">
        <f t="shared" si="7"/>
        <v>115.1104398837298</v>
      </c>
      <c r="N72" s="189">
        <f t="shared" si="8"/>
        <v>1519.5904398837258</v>
      </c>
      <c r="O72" s="188">
        <v>0</v>
      </c>
      <c r="P72" s="188">
        <v>0</v>
      </c>
      <c r="Q72" s="188">
        <v>0</v>
      </c>
      <c r="R72" s="189">
        <f t="shared" si="9"/>
        <v>1519.5904398837258</v>
      </c>
    </row>
    <row r="73" spans="1:18" x14ac:dyDescent="0.25">
      <c r="A73" s="146">
        <v>6</v>
      </c>
      <c r="B73" s="181">
        <f t="shared" si="4"/>
        <v>45078</v>
      </c>
      <c r="C73" s="201">
        <f t="shared" si="21"/>
        <v>45112</v>
      </c>
      <c r="D73" s="201">
        <f t="shared" si="21"/>
        <v>45131</v>
      </c>
      <c r="E73" s="190" t="s">
        <v>83</v>
      </c>
      <c r="F73" s="146">
        <v>9</v>
      </c>
      <c r="G73" s="183">
        <v>56</v>
      </c>
      <c r="H73" s="184">
        <f t="shared" si="5"/>
        <v>1716.58</v>
      </c>
      <c r="I73" s="184">
        <f t="shared" si="20"/>
        <v>1750.02</v>
      </c>
      <c r="J73" s="185">
        <f t="shared" si="2"/>
        <v>98001.12</v>
      </c>
      <c r="K73" s="186">
        <f t="shared" si="11"/>
        <v>96128.48</v>
      </c>
      <c r="L73" s="191">
        <f t="shared" si="22"/>
        <v>1872.6399999999994</v>
      </c>
      <c r="M73" s="188">
        <f t="shared" si="7"/>
        <v>153.48058651163973</v>
      </c>
      <c r="N73" s="189">
        <f t="shared" si="8"/>
        <v>2026.1205865116392</v>
      </c>
      <c r="O73" s="188">
        <v>0</v>
      </c>
      <c r="P73" s="188">
        <v>0</v>
      </c>
      <c r="Q73" s="188">
        <v>0</v>
      </c>
      <c r="R73" s="189">
        <f t="shared" si="9"/>
        <v>2026.1205865116392</v>
      </c>
    </row>
    <row r="74" spans="1:18" x14ac:dyDescent="0.25">
      <c r="A74" s="110">
        <v>7</v>
      </c>
      <c r="B74" s="181">
        <f t="shared" si="4"/>
        <v>45108</v>
      </c>
      <c r="C74" s="201">
        <f t="shared" si="21"/>
        <v>45141</v>
      </c>
      <c r="D74" s="201">
        <f t="shared" si="21"/>
        <v>45162</v>
      </c>
      <c r="E74" s="190" t="s">
        <v>83</v>
      </c>
      <c r="F74" s="146">
        <v>9</v>
      </c>
      <c r="G74" s="183">
        <v>54</v>
      </c>
      <c r="H74" s="184">
        <f t="shared" si="5"/>
        <v>1716.58</v>
      </c>
      <c r="I74" s="184">
        <f t="shared" si="20"/>
        <v>1750.02</v>
      </c>
      <c r="J74" s="185">
        <f t="shared" si="2"/>
        <v>94501.08</v>
      </c>
      <c r="K74" s="192">
        <f t="shared" si="11"/>
        <v>92695.319999999992</v>
      </c>
      <c r="L74" s="191">
        <f t="shared" si="22"/>
        <v>1805.7600000000093</v>
      </c>
      <c r="M74" s="188">
        <f t="shared" si="7"/>
        <v>147.9991369933669</v>
      </c>
      <c r="N74" s="189">
        <f t="shared" si="8"/>
        <v>1953.7591369933762</v>
      </c>
      <c r="O74" s="188">
        <v>0</v>
      </c>
      <c r="P74" s="188">
        <v>0</v>
      </c>
      <c r="Q74" s="188">
        <v>0</v>
      </c>
      <c r="R74" s="189">
        <f t="shared" si="9"/>
        <v>1953.7591369933762</v>
      </c>
    </row>
    <row r="75" spans="1:18" x14ac:dyDescent="0.25">
      <c r="A75" s="146">
        <v>8</v>
      </c>
      <c r="B75" s="181">
        <f t="shared" si="4"/>
        <v>45139</v>
      </c>
      <c r="C75" s="201">
        <f t="shared" si="21"/>
        <v>45174</v>
      </c>
      <c r="D75" s="201">
        <f t="shared" si="21"/>
        <v>45194</v>
      </c>
      <c r="E75" s="190" t="s">
        <v>83</v>
      </c>
      <c r="F75" s="146">
        <v>9</v>
      </c>
      <c r="G75" s="183">
        <v>59</v>
      </c>
      <c r="H75" s="184">
        <f t="shared" si="5"/>
        <v>1716.58</v>
      </c>
      <c r="I75" s="184">
        <f t="shared" si="20"/>
        <v>1750.02</v>
      </c>
      <c r="J75" s="185">
        <f t="shared" si="2"/>
        <v>103251.18</v>
      </c>
      <c r="K75" s="192">
        <f t="shared" si="11"/>
        <v>101278.22</v>
      </c>
      <c r="L75" s="191">
        <f t="shared" si="22"/>
        <v>1972.9599999999919</v>
      </c>
      <c r="M75" s="188">
        <f t="shared" si="7"/>
        <v>161.70276078904899</v>
      </c>
      <c r="N75" s="189">
        <f t="shared" si="8"/>
        <v>2134.6627607890409</v>
      </c>
      <c r="O75" s="188">
        <v>0</v>
      </c>
      <c r="P75" s="188">
        <v>0</v>
      </c>
      <c r="Q75" s="188">
        <v>0</v>
      </c>
      <c r="R75" s="189">
        <f t="shared" si="9"/>
        <v>2134.6627607890409</v>
      </c>
    </row>
    <row r="76" spans="1:18" x14ac:dyDescent="0.25">
      <c r="A76" s="146">
        <v>9</v>
      </c>
      <c r="B76" s="181">
        <f t="shared" si="4"/>
        <v>45170</v>
      </c>
      <c r="C76" s="201">
        <f t="shared" si="21"/>
        <v>45203</v>
      </c>
      <c r="D76" s="201">
        <f t="shared" si="21"/>
        <v>45223</v>
      </c>
      <c r="E76" s="190" t="s">
        <v>83</v>
      </c>
      <c r="F76" s="146">
        <v>9</v>
      </c>
      <c r="G76" s="183">
        <v>54</v>
      </c>
      <c r="H76" s="184">
        <f t="shared" si="5"/>
        <v>1716.58</v>
      </c>
      <c r="I76" s="184">
        <f t="shared" si="20"/>
        <v>1750.02</v>
      </c>
      <c r="J76" s="185">
        <f t="shared" si="2"/>
        <v>94501.08</v>
      </c>
      <c r="K76" s="192">
        <f t="shared" si="11"/>
        <v>92695.319999999992</v>
      </c>
      <c r="L76" s="191">
        <f t="shared" si="22"/>
        <v>1805.7600000000093</v>
      </c>
      <c r="M76" s="188">
        <f t="shared" si="7"/>
        <v>147.9991369933669</v>
      </c>
      <c r="N76" s="189">
        <f t="shared" si="8"/>
        <v>1953.7591369933762</v>
      </c>
      <c r="O76" s="188">
        <v>0</v>
      </c>
      <c r="P76" s="188">
        <v>0</v>
      </c>
      <c r="Q76" s="188">
        <v>0</v>
      </c>
      <c r="R76" s="189">
        <f t="shared" si="9"/>
        <v>1953.7591369933762</v>
      </c>
    </row>
    <row r="77" spans="1:18" x14ac:dyDescent="0.25">
      <c r="A77" s="110">
        <v>10</v>
      </c>
      <c r="B77" s="181">
        <f t="shared" si="4"/>
        <v>45200</v>
      </c>
      <c r="C77" s="201">
        <f t="shared" si="21"/>
        <v>45233</v>
      </c>
      <c r="D77" s="201">
        <f t="shared" si="21"/>
        <v>45254</v>
      </c>
      <c r="E77" s="190" t="s">
        <v>83</v>
      </c>
      <c r="F77" s="146">
        <v>9</v>
      </c>
      <c r="G77" s="183">
        <v>37</v>
      </c>
      <c r="H77" s="184">
        <f t="shared" si="5"/>
        <v>1716.58</v>
      </c>
      <c r="I77" s="184">
        <f t="shared" si="20"/>
        <v>1750.02</v>
      </c>
      <c r="J77" s="185">
        <f t="shared" si="2"/>
        <v>64750.74</v>
      </c>
      <c r="K77" s="192">
        <f t="shared" si="11"/>
        <v>63513.46</v>
      </c>
      <c r="L77" s="191">
        <f t="shared" si="22"/>
        <v>1237.2799999999988</v>
      </c>
      <c r="M77" s="188">
        <f t="shared" si="7"/>
        <v>101.40681608804768</v>
      </c>
      <c r="N77" s="189">
        <f t="shared" si="8"/>
        <v>1338.6868160880465</v>
      </c>
      <c r="O77" s="188">
        <v>0</v>
      </c>
      <c r="P77" s="188">
        <v>0</v>
      </c>
      <c r="Q77" s="188">
        <v>0</v>
      </c>
      <c r="R77" s="189">
        <f t="shared" si="9"/>
        <v>1338.6868160880465</v>
      </c>
    </row>
    <row r="78" spans="1:18" x14ac:dyDescent="0.25">
      <c r="A78" s="146">
        <v>11</v>
      </c>
      <c r="B78" s="181">
        <f t="shared" si="4"/>
        <v>45231</v>
      </c>
      <c r="C78" s="201">
        <f t="shared" si="21"/>
        <v>45266</v>
      </c>
      <c r="D78" s="201">
        <f t="shared" si="21"/>
        <v>45285</v>
      </c>
      <c r="E78" s="190" t="s">
        <v>83</v>
      </c>
      <c r="F78" s="146">
        <v>9</v>
      </c>
      <c r="G78" s="183">
        <v>38</v>
      </c>
      <c r="H78" s="184">
        <f t="shared" si="5"/>
        <v>1716.58</v>
      </c>
      <c r="I78" s="184">
        <f t="shared" si="20"/>
        <v>1750.02</v>
      </c>
      <c r="J78" s="185">
        <f t="shared" si="2"/>
        <v>66500.759999999995</v>
      </c>
      <c r="K78" s="192">
        <f>+$G78*H78</f>
        <v>65230.039999999994</v>
      </c>
      <c r="L78" s="191">
        <f t="shared" si="22"/>
        <v>1270.7200000000012</v>
      </c>
      <c r="M78" s="188">
        <f t="shared" si="7"/>
        <v>104.1475408471841</v>
      </c>
      <c r="N78" s="189">
        <f t="shared" si="8"/>
        <v>1374.8675408471852</v>
      </c>
      <c r="O78" s="188">
        <v>0</v>
      </c>
      <c r="P78" s="188">
        <v>0</v>
      </c>
      <c r="Q78" s="188">
        <v>0</v>
      </c>
      <c r="R78" s="189">
        <f t="shared" si="9"/>
        <v>1374.8675408471852</v>
      </c>
    </row>
    <row r="79" spans="1:18" s="205" customFormat="1" x14ac:dyDescent="0.25">
      <c r="A79" s="146">
        <v>12</v>
      </c>
      <c r="B79" s="203">
        <f t="shared" si="4"/>
        <v>45261</v>
      </c>
      <c r="C79" s="206">
        <f t="shared" si="21"/>
        <v>45294</v>
      </c>
      <c r="D79" s="206">
        <f t="shared" si="21"/>
        <v>45315</v>
      </c>
      <c r="E79" s="207" t="s">
        <v>83</v>
      </c>
      <c r="F79" s="157">
        <v>9</v>
      </c>
      <c r="G79" s="183">
        <v>35</v>
      </c>
      <c r="H79" s="193">
        <f t="shared" si="5"/>
        <v>1716.58</v>
      </c>
      <c r="I79" s="193">
        <f t="shared" si="20"/>
        <v>1750.02</v>
      </c>
      <c r="J79" s="194">
        <f t="shared" si="2"/>
        <v>61250.7</v>
      </c>
      <c r="K79" s="195">
        <f>+$G79*H79</f>
        <v>60080.299999999996</v>
      </c>
      <c r="L79" s="196">
        <f t="shared" si="22"/>
        <v>1170.4000000000015</v>
      </c>
      <c r="M79" s="188">
        <f t="shared" si="7"/>
        <v>95.925366569774823</v>
      </c>
      <c r="N79" s="189">
        <f t="shared" si="8"/>
        <v>1266.3253665697762</v>
      </c>
      <c r="O79" s="188">
        <v>0</v>
      </c>
      <c r="P79" s="188">
        <v>0</v>
      </c>
      <c r="Q79" s="188">
        <v>0</v>
      </c>
      <c r="R79" s="189">
        <f t="shared" si="9"/>
        <v>1266.3253665697762</v>
      </c>
    </row>
    <row r="80" spans="1:18" s="50" customFormat="1" ht="12.75" customHeight="1" x14ac:dyDescent="0.25">
      <c r="A80" s="110">
        <v>1</v>
      </c>
      <c r="B80" s="181">
        <f t="shared" si="4"/>
        <v>44927</v>
      </c>
      <c r="C80" s="198">
        <f t="shared" ref="C80:D91" si="23">+C56</f>
        <v>44960</v>
      </c>
      <c r="D80" s="198">
        <f t="shared" si="23"/>
        <v>44981</v>
      </c>
      <c r="E80" s="182" t="s">
        <v>9</v>
      </c>
      <c r="F80" s="110">
        <v>9</v>
      </c>
      <c r="G80" s="183">
        <v>53</v>
      </c>
      <c r="H80" s="184">
        <f t="shared" si="5"/>
        <v>1716.58</v>
      </c>
      <c r="I80" s="184">
        <f t="shared" si="20"/>
        <v>1750.02</v>
      </c>
      <c r="J80" s="185">
        <f t="shared" si="2"/>
        <v>92751.06</v>
      </c>
      <c r="K80" s="186">
        <f t="shared" si="11"/>
        <v>90978.739999999991</v>
      </c>
      <c r="L80" s="187">
        <f t="shared" si="19"/>
        <v>1772.320000000007</v>
      </c>
      <c r="M80" s="188">
        <f t="shared" si="7"/>
        <v>145.25841223423046</v>
      </c>
      <c r="N80" s="189">
        <f t="shared" si="8"/>
        <v>1917.5784122342375</v>
      </c>
      <c r="O80" s="188">
        <v>0</v>
      </c>
      <c r="P80" s="188">
        <v>0</v>
      </c>
      <c r="Q80" s="188">
        <v>0</v>
      </c>
      <c r="R80" s="189">
        <f t="shared" si="9"/>
        <v>1917.5784122342375</v>
      </c>
    </row>
    <row r="81" spans="1:18" x14ac:dyDescent="0.25">
      <c r="A81" s="146">
        <v>2</v>
      </c>
      <c r="B81" s="181">
        <f t="shared" si="4"/>
        <v>44958</v>
      </c>
      <c r="C81" s="201">
        <f t="shared" si="23"/>
        <v>44988</v>
      </c>
      <c r="D81" s="201">
        <f t="shared" si="23"/>
        <v>45009</v>
      </c>
      <c r="E81" s="190" t="s">
        <v>9</v>
      </c>
      <c r="F81" s="146">
        <v>9</v>
      </c>
      <c r="G81" s="183">
        <v>55</v>
      </c>
      <c r="H81" s="184">
        <f t="shared" si="5"/>
        <v>1716.58</v>
      </c>
      <c r="I81" s="184">
        <f t="shared" si="20"/>
        <v>1750.02</v>
      </c>
      <c r="J81" s="185">
        <f t="shared" si="2"/>
        <v>96251.1</v>
      </c>
      <c r="K81" s="186">
        <f t="shared" si="11"/>
        <v>94411.9</v>
      </c>
      <c r="L81" s="187">
        <f t="shared" si="19"/>
        <v>1839.2000000000116</v>
      </c>
      <c r="M81" s="188">
        <f t="shared" si="7"/>
        <v>150.73986175250332</v>
      </c>
      <c r="N81" s="189">
        <f t="shared" si="8"/>
        <v>1989.9398617525148</v>
      </c>
      <c r="O81" s="188">
        <v>0</v>
      </c>
      <c r="P81" s="188">
        <v>0</v>
      </c>
      <c r="Q81" s="188">
        <v>0</v>
      </c>
      <c r="R81" s="189">
        <f t="shared" si="9"/>
        <v>1989.9398617525148</v>
      </c>
    </row>
    <row r="82" spans="1:18" x14ac:dyDescent="0.25">
      <c r="A82" s="146">
        <v>3</v>
      </c>
      <c r="B82" s="181">
        <f t="shared" si="4"/>
        <v>44986</v>
      </c>
      <c r="C82" s="201">
        <f t="shared" si="23"/>
        <v>45021</v>
      </c>
      <c r="D82" s="201">
        <f t="shared" si="23"/>
        <v>45040</v>
      </c>
      <c r="E82" s="190" t="s">
        <v>9</v>
      </c>
      <c r="F82" s="146">
        <v>9</v>
      </c>
      <c r="G82" s="183">
        <v>46</v>
      </c>
      <c r="H82" s="184">
        <f t="shared" si="5"/>
        <v>1716.58</v>
      </c>
      <c r="I82" s="184">
        <f t="shared" si="20"/>
        <v>1750.02</v>
      </c>
      <c r="J82" s="185">
        <f t="shared" si="2"/>
        <v>80500.92</v>
      </c>
      <c r="K82" s="186">
        <f t="shared" si="11"/>
        <v>78962.679999999993</v>
      </c>
      <c r="L82" s="187">
        <f>+J82-K82</f>
        <v>1538.2400000000052</v>
      </c>
      <c r="M82" s="188">
        <f t="shared" si="7"/>
        <v>126.07333892027549</v>
      </c>
      <c r="N82" s="189">
        <f t="shared" si="8"/>
        <v>1664.3133389202808</v>
      </c>
      <c r="O82" s="188">
        <v>0</v>
      </c>
      <c r="P82" s="188">
        <v>0</v>
      </c>
      <c r="Q82" s="188">
        <v>0</v>
      </c>
      <c r="R82" s="189">
        <f t="shared" si="9"/>
        <v>1664.3133389202808</v>
      </c>
    </row>
    <row r="83" spans="1:18" ht="12" customHeight="1" x14ac:dyDescent="0.25">
      <c r="A83" s="110">
        <v>4</v>
      </c>
      <c r="B83" s="181">
        <f t="shared" si="4"/>
        <v>45017</v>
      </c>
      <c r="C83" s="201">
        <f t="shared" si="23"/>
        <v>45049</v>
      </c>
      <c r="D83" s="201">
        <f t="shared" si="23"/>
        <v>45070</v>
      </c>
      <c r="E83" s="52" t="s">
        <v>9</v>
      </c>
      <c r="F83" s="146">
        <v>9</v>
      </c>
      <c r="G83" s="183">
        <v>33</v>
      </c>
      <c r="H83" s="184">
        <f t="shared" si="5"/>
        <v>1716.58</v>
      </c>
      <c r="I83" s="184">
        <f t="shared" si="20"/>
        <v>1750.02</v>
      </c>
      <c r="J83" s="185">
        <f t="shared" si="2"/>
        <v>57750.659999999996</v>
      </c>
      <c r="K83" s="186">
        <f t="shared" si="11"/>
        <v>56647.14</v>
      </c>
      <c r="L83" s="187">
        <f t="shared" ref="L83:L93" si="24">+J83-K83</f>
        <v>1103.5199999999968</v>
      </c>
      <c r="M83" s="188">
        <f t="shared" si="7"/>
        <v>90.443917051501984</v>
      </c>
      <c r="N83" s="189">
        <f t="shared" si="8"/>
        <v>1193.9639170514988</v>
      </c>
      <c r="O83" s="188">
        <v>0</v>
      </c>
      <c r="P83" s="188">
        <v>0</v>
      </c>
      <c r="Q83" s="188">
        <v>0</v>
      </c>
      <c r="R83" s="189">
        <f t="shared" si="9"/>
        <v>1193.9639170514988</v>
      </c>
    </row>
    <row r="84" spans="1:18" ht="12" customHeight="1" x14ac:dyDescent="0.25">
      <c r="A84" s="146">
        <v>5</v>
      </c>
      <c r="B84" s="181">
        <f t="shared" si="4"/>
        <v>45047</v>
      </c>
      <c r="C84" s="201">
        <f t="shared" si="23"/>
        <v>45082</v>
      </c>
      <c r="D84" s="201">
        <f t="shared" si="23"/>
        <v>45103</v>
      </c>
      <c r="E84" s="52" t="s">
        <v>9</v>
      </c>
      <c r="F84" s="146">
        <v>9</v>
      </c>
      <c r="G84" s="183">
        <v>44</v>
      </c>
      <c r="H84" s="184">
        <f t="shared" si="5"/>
        <v>1716.58</v>
      </c>
      <c r="I84" s="184">
        <f t="shared" si="20"/>
        <v>1750.02</v>
      </c>
      <c r="J84" s="185">
        <f t="shared" si="2"/>
        <v>77000.88</v>
      </c>
      <c r="K84" s="186">
        <f t="shared" si="11"/>
        <v>75529.51999999999</v>
      </c>
      <c r="L84" s="187">
        <f t="shared" si="24"/>
        <v>1471.3600000000151</v>
      </c>
      <c r="M84" s="188">
        <f t="shared" si="7"/>
        <v>120.59188940200265</v>
      </c>
      <c r="N84" s="189">
        <f t="shared" si="8"/>
        <v>1591.9518894020177</v>
      </c>
      <c r="O84" s="188">
        <v>0</v>
      </c>
      <c r="P84" s="188">
        <v>0</v>
      </c>
      <c r="Q84" s="188">
        <v>0</v>
      </c>
      <c r="R84" s="189">
        <f t="shared" si="9"/>
        <v>1591.9518894020177</v>
      </c>
    </row>
    <row r="85" spans="1:18" x14ac:dyDescent="0.25">
      <c r="A85" s="146">
        <v>6</v>
      </c>
      <c r="B85" s="181">
        <f t="shared" si="4"/>
        <v>45078</v>
      </c>
      <c r="C85" s="201">
        <f t="shared" si="23"/>
        <v>45112</v>
      </c>
      <c r="D85" s="201">
        <f t="shared" si="23"/>
        <v>45131</v>
      </c>
      <c r="E85" s="52" t="s">
        <v>9</v>
      </c>
      <c r="F85" s="146">
        <v>9</v>
      </c>
      <c r="G85" s="183">
        <v>55</v>
      </c>
      <c r="H85" s="184">
        <f t="shared" ref="H85:H148" si="25">+$K$3</f>
        <v>1716.58</v>
      </c>
      <c r="I85" s="184">
        <f t="shared" si="20"/>
        <v>1750.02</v>
      </c>
      <c r="J85" s="185">
        <f t="shared" si="2"/>
        <v>96251.1</v>
      </c>
      <c r="K85" s="186">
        <f t="shared" si="11"/>
        <v>94411.9</v>
      </c>
      <c r="L85" s="191">
        <f t="shared" si="24"/>
        <v>1839.2000000000116</v>
      </c>
      <c r="M85" s="188">
        <f t="shared" ref="M85:M148" si="26">G85/$G$212*$M$14</f>
        <v>150.73986175250332</v>
      </c>
      <c r="N85" s="189">
        <f t="shared" ref="N85:N148" si="27">SUM(L85:M85)</f>
        <v>1989.9398617525148</v>
      </c>
      <c r="O85" s="188">
        <v>0</v>
      </c>
      <c r="P85" s="188">
        <v>0</v>
      </c>
      <c r="Q85" s="188">
        <v>0</v>
      </c>
      <c r="R85" s="189">
        <f t="shared" ref="R85:R148" si="28">+N85-Q85</f>
        <v>1989.9398617525148</v>
      </c>
    </row>
    <row r="86" spans="1:18" x14ac:dyDescent="0.25">
      <c r="A86" s="110">
        <v>7</v>
      </c>
      <c r="B86" s="181">
        <f t="shared" si="4"/>
        <v>45108</v>
      </c>
      <c r="C86" s="201">
        <f t="shared" si="23"/>
        <v>45141</v>
      </c>
      <c r="D86" s="201">
        <f t="shared" si="23"/>
        <v>45162</v>
      </c>
      <c r="E86" s="52" t="s">
        <v>9</v>
      </c>
      <c r="F86" s="146">
        <v>9</v>
      </c>
      <c r="G86" s="183">
        <v>57</v>
      </c>
      <c r="H86" s="184">
        <f t="shared" si="25"/>
        <v>1716.58</v>
      </c>
      <c r="I86" s="184">
        <f t="shared" si="20"/>
        <v>1750.02</v>
      </c>
      <c r="J86" s="185">
        <f t="shared" si="2"/>
        <v>99751.14</v>
      </c>
      <c r="K86" s="192">
        <f t="shared" si="11"/>
        <v>97845.06</v>
      </c>
      <c r="L86" s="191">
        <f t="shared" si="24"/>
        <v>1906.0800000000017</v>
      </c>
      <c r="M86" s="188">
        <f t="shared" si="26"/>
        <v>156.22131127077614</v>
      </c>
      <c r="N86" s="189">
        <f t="shared" si="27"/>
        <v>2062.3013112707777</v>
      </c>
      <c r="O86" s="188">
        <v>0</v>
      </c>
      <c r="P86" s="188">
        <v>0</v>
      </c>
      <c r="Q86" s="188">
        <v>0</v>
      </c>
      <c r="R86" s="189">
        <f t="shared" si="28"/>
        <v>2062.3013112707777</v>
      </c>
    </row>
    <row r="87" spans="1:18" x14ac:dyDescent="0.25">
      <c r="A87" s="146">
        <v>8</v>
      </c>
      <c r="B87" s="181">
        <f t="shared" si="4"/>
        <v>45139</v>
      </c>
      <c r="C87" s="201">
        <f t="shared" si="23"/>
        <v>45174</v>
      </c>
      <c r="D87" s="201">
        <f t="shared" si="23"/>
        <v>45194</v>
      </c>
      <c r="E87" s="52" t="s">
        <v>9</v>
      </c>
      <c r="F87" s="146">
        <v>9</v>
      </c>
      <c r="G87" s="183">
        <v>56</v>
      </c>
      <c r="H87" s="184">
        <f t="shared" si="25"/>
        <v>1716.58</v>
      </c>
      <c r="I87" s="184">
        <f t="shared" si="20"/>
        <v>1750.02</v>
      </c>
      <c r="J87" s="185">
        <f t="shared" si="2"/>
        <v>98001.12</v>
      </c>
      <c r="K87" s="192">
        <f t="shared" si="11"/>
        <v>96128.48</v>
      </c>
      <c r="L87" s="191">
        <f t="shared" si="24"/>
        <v>1872.6399999999994</v>
      </c>
      <c r="M87" s="188">
        <f t="shared" si="26"/>
        <v>153.48058651163973</v>
      </c>
      <c r="N87" s="189">
        <f t="shared" si="27"/>
        <v>2026.1205865116392</v>
      </c>
      <c r="O87" s="188">
        <v>0</v>
      </c>
      <c r="P87" s="188">
        <v>0</v>
      </c>
      <c r="Q87" s="188">
        <v>0</v>
      </c>
      <c r="R87" s="189">
        <f t="shared" si="28"/>
        <v>2026.1205865116392</v>
      </c>
    </row>
    <row r="88" spans="1:18" x14ac:dyDescent="0.25">
      <c r="A88" s="146">
        <v>9</v>
      </c>
      <c r="B88" s="181">
        <f t="shared" si="4"/>
        <v>45170</v>
      </c>
      <c r="C88" s="201">
        <f t="shared" si="23"/>
        <v>45203</v>
      </c>
      <c r="D88" s="201">
        <f t="shared" si="23"/>
        <v>45223</v>
      </c>
      <c r="E88" s="52" t="s">
        <v>9</v>
      </c>
      <c r="F88" s="146">
        <v>9</v>
      </c>
      <c r="G88" s="183">
        <v>60</v>
      </c>
      <c r="H88" s="184">
        <f t="shared" si="25"/>
        <v>1716.58</v>
      </c>
      <c r="I88" s="184">
        <f t="shared" si="20"/>
        <v>1750.02</v>
      </c>
      <c r="J88" s="185">
        <f t="shared" si="2"/>
        <v>105001.2</v>
      </c>
      <c r="K88" s="192">
        <f t="shared" si="11"/>
        <v>102994.79999999999</v>
      </c>
      <c r="L88" s="191">
        <f t="shared" si="24"/>
        <v>2006.4000000000087</v>
      </c>
      <c r="M88" s="188">
        <f t="shared" si="26"/>
        <v>164.44348554818541</v>
      </c>
      <c r="N88" s="189">
        <f t="shared" si="27"/>
        <v>2170.8434855481942</v>
      </c>
      <c r="O88" s="188">
        <v>0</v>
      </c>
      <c r="P88" s="188">
        <v>0</v>
      </c>
      <c r="Q88" s="188">
        <v>0</v>
      </c>
      <c r="R88" s="189">
        <f t="shared" si="28"/>
        <v>2170.8434855481942</v>
      </c>
    </row>
    <row r="89" spans="1:18" x14ac:dyDescent="0.25">
      <c r="A89" s="110">
        <v>10</v>
      </c>
      <c r="B89" s="181">
        <f t="shared" si="4"/>
        <v>45200</v>
      </c>
      <c r="C89" s="201">
        <f t="shared" si="23"/>
        <v>45233</v>
      </c>
      <c r="D89" s="201">
        <f t="shared" si="23"/>
        <v>45254</v>
      </c>
      <c r="E89" s="52" t="s">
        <v>9</v>
      </c>
      <c r="F89" s="146">
        <v>9</v>
      </c>
      <c r="G89" s="183">
        <v>48</v>
      </c>
      <c r="H89" s="184">
        <f t="shared" si="25"/>
        <v>1716.58</v>
      </c>
      <c r="I89" s="184">
        <f t="shared" si="20"/>
        <v>1750.02</v>
      </c>
      <c r="J89" s="185">
        <f t="shared" si="2"/>
        <v>84000.959999999992</v>
      </c>
      <c r="K89" s="192">
        <f t="shared" si="11"/>
        <v>82395.839999999997</v>
      </c>
      <c r="L89" s="191">
        <f t="shared" si="24"/>
        <v>1605.1199999999953</v>
      </c>
      <c r="M89" s="188">
        <f t="shared" si="26"/>
        <v>131.55478843854834</v>
      </c>
      <c r="N89" s="189">
        <f t="shared" si="27"/>
        <v>1736.6747884385436</v>
      </c>
      <c r="O89" s="188">
        <v>0</v>
      </c>
      <c r="P89" s="188">
        <v>0</v>
      </c>
      <c r="Q89" s="188">
        <v>0</v>
      </c>
      <c r="R89" s="189">
        <f t="shared" si="28"/>
        <v>1736.6747884385436</v>
      </c>
    </row>
    <row r="90" spans="1:18" x14ac:dyDescent="0.25">
      <c r="A90" s="146">
        <v>11</v>
      </c>
      <c r="B90" s="181">
        <f t="shared" si="4"/>
        <v>45231</v>
      </c>
      <c r="C90" s="201">
        <f t="shared" si="23"/>
        <v>45266</v>
      </c>
      <c r="D90" s="201">
        <f t="shared" si="23"/>
        <v>45285</v>
      </c>
      <c r="E90" s="52" t="s">
        <v>9</v>
      </c>
      <c r="F90" s="146">
        <v>9</v>
      </c>
      <c r="G90" s="183">
        <v>54</v>
      </c>
      <c r="H90" s="184">
        <f t="shared" si="25"/>
        <v>1716.58</v>
      </c>
      <c r="I90" s="184">
        <f t="shared" si="20"/>
        <v>1750.02</v>
      </c>
      <c r="J90" s="185">
        <f t="shared" si="2"/>
        <v>94501.08</v>
      </c>
      <c r="K90" s="192">
        <f t="shared" si="11"/>
        <v>92695.319999999992</v>
      </c>
      <c r="L90" s="191">
        <f t="shared" si="24"/>
        <v>1805.7600000000093</v>
      </c>
      <c r="M90" s="188">
        <f t="shared" si="26"/>
        <v>147.9991369933669</v>
      </c>
      <c r="N90" s="189">
        <f t="shared" si="27"/>
        <v>1953.7591369933762</v>
      </c>
      <c r="O90" s="188">
        <v>0</v>
      </c>
      <c r="P90" s="188">
        <v>0</v>
      </c>
      <c r="Q90" s="188">
        <v>0</v>
      </c>
      <c r="R90" s="189">
        <f t="shared" si="28"/>
        <v>1953.7591369933762</v>
      </c>
    </row>
    <row r="91" spans="1:18" s="205" customFormat="1" x14ac:dyDescent="0.25">
      <c r="A91" s="146">
        <v>12</v>
      </c>
      <c r="B91" s="203">
        <f t="shared" si="4"/>
        <v>45261</v>
      </c>
      <c r="C91" s="201">
        <f t="shared" si="23"/>
        <v>45294</v>
      </c>
      <c r="D91" s="201">
        <f t="shared" si="23"/>
        <v>45315</v>
      </c>
      <c r="E91" s="204" t="s">
        <v>9</v>
      </c>
      <c r="F91" s="157">
        <v>9</v>
      </c>
      <c r="G91" s="183">
        <v>55</v>
      </c>
      <c r="H91" s="193">
        <f t="shared" si="25"/>
        <v>1716.58</v>
      </c>
      <c r="I91" s="193">
        <f t="shared" si="20"/>
        <v>1750.02</v>
      </c>
      <c r="J91" s="194">
        <f t="shared" si="2"/>
        <v>96251.1</v>
      </c>
      <c r="K91" s="195">
        <f t="shared" si="11"/>
        <v>94411.9</v>
      </c>
      <c r="L91" s="196">
        <f t="shared" si="24"/>
        <v>1839.2000000000116</v>
      </c>
      <c r="M91" s="188">
        <f t="shared" si="26"/>
        <v>150.73986175250332</v>
      </c>
      <c r="N91" s="189">
        <f t="shared" si="27"/>
        <v>1989.9398617525148</v>
      </c>
      <c r="O91" s="188">
        <v>0</v>
      </c>
      <c r="P91" s="188">
        <v>0</v>
      </c>
      <c r="Q91" s="188">
        <v>0</v>
      </c>
      <c r="R91" s="189">
        <f t="shared" si="28"/>
        <v>1989.9398617525148</v>
      </c>
    </row>
    <row r="92" spans="1:18" x14ac:dyDescent="0.25">
      <c r="A92" s="110">
        <v>1</v>
      </c>
      <c r="B92" s="181">
        <f t="shared" si="4"/>
        <v>44927</v>
      </c>
      <c r="C92" s="198">
        <f t="shared" ref="C92:D95" si="29">+C80</f>
        <v>44960</v>
      </c>
      <c r="D92" s="198">
        <f t="shared" si="29"/>
        <v>44981</v>
      </c>
      <c r="E92" s="182" t="s">
        <v>8</v>
      </c>
      <c r="F92" s="110">
        <v>9</v>
      </c>
      <c r="G92" s="183">
        <v>84</v>
      </c>
      <c r="H92" s="184">
        <f t="shared" si="25"/>
        <v>1716.58</v>
      </c>
      <c r="I92" s="184">
        <f t="shared" si="20"/>
        <v>1750.02</v>
      </c>
      <c r="J92" s="185">
        <f t="shared" si="2"/>
        <v>147001.68</v>
      </c>
      <c r="K92" s="186">
        <f t="shared" si="11"/>
        <v>144192.72</v>
      </c>
      <c r="L92" s="187">
        <f t="shared" si="24"/>
        <v>2808.9599999999919</v>
      </c>
      <c r="M92" s="188">
        <f t="shared" si="26"/>
        <v>230.22087976745959</v>
      </c>
      <c r="N92" s="189">
        <f t="shared" si="27"/>
        <v>3039.1808797674516</v>
      </c>
      <c r="O92" s="188">
        <v>0</v>
      </c>
      <c r="P92" s="188">
        <v>0</v>
      </c>
      <c r="Q92" s="188">
        <v>0</v>
      </c>
      <c r="R92" s="189">
        <f t="shared" si="28"/>
        <v>3039.1808797674516</v>
      </c>
    </row>
    <row r="93" spans="1:18" x14ac:dyDescent="0.25">
      <c r="A93" s="146">
        <v>2</v>
      </c>
      <c r="B93" s="181">
        <f t="shared" si="4"/>
        <v>44958</v>
      </c>
      <c r="C93" s="201">
        <f t="shared" si="29"/>
        <v>44988</v>
      </c>
      <c r="D93" s="201">
        <f t="shared" si="29"/>
        <v>45009</v>
      </c>
      <c r="E93" s="190" t="s">
        <v>8</v>
      </c>
      <c r="F93" s="146">
        <v>9</v>
      </c>
      <c r="G93" s="183">
        <v>83</v>
      </c>
      <c r="H93" s="184">
        <f t="shared" si="25"/>
        <v>1716.58</v>
      </c>
      <c r="I93" s="184">
        <f t="shared" si="20"/>
        <v>1750.02</v>
      </c>
      <c r="J93" s="185">
        <f t="shared" si="2"/>
        <v>145251.66</v>
      </c>
      <c r="K93" s="186">
        <f t="shared" si="11"/>
        <v>142476.13999999998</v>
      </c>
      <c r="L93" s="187">
        <f t="shared" si="24"/>
        <v>2775.5200000000186</v>
      </c>
      <c r="M93" s="188">
        <f t="shared" si="26"/>
        <v>227.48015500832315</v>
      </c>
      <c r="N93" s="189">
        <f t="shared" si="27"/>
        <v>3003.0001550083416</v>
      </c>
      <c r="O93" s="188">
        <v>0</v>
      </c>
      <c r="P93" s="188">
        <v>0</v>
      </c>
      <c r="Q93" s="188">
        <v>0</v>
      </c>
      <c r="R93" s="189">
        <f t="shared" si="28"/>
        <v>3003.0001550083416</v>
      </c>
    </row>
    <row r="94" spans="1:18" x14ac:dyDescent="0.25">
      <c r="A94" s="146">
        <v>3</v>
      </c>
      <c r="B94" s="181">
        <f t="shared" si="4"/>
        <v>44986</v>
      </c>
      <c r="C94" s="201">
        <f t="shared" si="29"/>
        <v>45021</v>
      </c>
      <c r="D94" s="201">
        <f t="shared" si="29"/>
        <v>45040</v>
      </c>
      <c r="E94" s="190" t="s">
        <v>8</v>
      </c>
      <c r="F94" s="146">
        <v>9</v>
      </c>
      <c r="G94" s="183">
        <v>76</v>
      </c>
      <c r="H94" s="184">
        <f t="shared" si="25"/>
        <v>1716.58</v>
      </c>
      <c r="I94" s="184">
        <f t="shared" si="20"/>
        <v>1750.02</v>
      </c>
      <c r="J94" s="185">
        <f t="shared" si="2"/>
        <v>133001.51999999999</v>
      </c>
      <c r="K94" s="186">
        <f t="shared" ref="K94:K133" si="30">+$G94*H94</f>
        <v>130460.07999999999</v>
      </c>
      <c r="L94" s="187">
        <f>+J94-K94</f>
        <v>2541.4400000000023</v>
      </c>
      <c r="M94" s="188">
        <f t="shared" si="26"/>
        <v>208.29508169436821</v>
      </c>
      <c r="N94" s="189">
        <f t="shared" si="27"/>
        <v>2749.7350816943704</v>
      </c>
      <c r="O94" s="188">
        <v>0</v>
      </c>
      <c r="P94" s="188">
        <v>0</v>
      </c>
      <c r="Q94" s="188">
        <v>0</v>
      </c>
      <c r="R94" s="189">
        <f t="shared" si="28"/>
        <v>2749.7350816943704</v>
      </c>
    </row>
    <row r="95" spans="1:18" x14ac:dyDescent="0.25">
      <c r="A95" s="110">
        <v>4</v>
      </c>
      <c r="B95" s="181">
        <f t="shared" si="4"/>
        <v>45017</v>
      </c>
      <c r="C95" s="201">
        <f t="shared" si="29"/>
        <v>45049</v>
      </c>
      <c r="D95" s="201">
        <f t="shared" si="29"/>
        <v>45070</v>
      </c>
      <c r="E95" s="190" t="s">
        <v>8</v>
      </c>
      <c r="F95" s="146">
        <v>9</v>
      </c>
      <c r="G95" s="183">
        <v>69</v>
      </c>
      <c r="H95" s="184">
        <f t="shared" si="25"/>
        <v>1716.58</v>
      </c>
      <c r="I95" s="184">
        <f t="shared" si="20"/>
        <v>1750.02</v>
      </c>
      <c r="J95" s="185">
        <f t="shared" si="2"/>
        <v>120751.38</v>
      </c>
      <c r="K95" s="186">
        <f t="shared" si="30"/>
        <v>118444.01999999999</v>
      </c>
      <c r="L95" s="187">
        <f t="shared" ref="L95:L105" si="31">+J95-K95</f>
        <v>2307.3600000000151</v>
      </c>
      <c r="M95" s="188">
        <f t="shared" si="26"/>
        <v>189.11000838041323</v>
      </c>
      <c r="N95" s="189">
        <f t="shared" si="27"/>
        <v>2496.4700083804282</v>
      </c>
      <c r="O95" s="188">
        <v>0</v>
      </c>
      <c r="P95" s="188">
        <v>0</v>
      </c>
      <c r="Q95" s="188">
        <v>0</v>
      </c>
      <c r="R95" s="189">
        <f t="shared" si="28"/>
        <v>2496.4700083804282</v>
      </c>
    </row>
    <row r="96" spans="1:18" x14ac:dyDescent="0.25">
      <c r="A96" s="146">
        <v>5</v>
      </c>
      <c r="B96" s="181">
        <f t="shared" si="4"/>
        <v>45047</v>
      </c>
      <c r="C96" s="201">
        <f t="shared" ref="C96:D116" si="32">+C84</f>
        <v>45082</v>
      </c>
      <c r="D96" s="201">
        <f t="shared" si="32"/>
        <v>45103</v>
      </c>
      <c r="E96" s="52" t="s">
        <v>8</v>
      </c>
      <c r="F96" s="146">
        <v>9</v>
      </c>
      <c r="G96" s="183">
        <v>99</v>
      </c>
      <c r="H96" s="184">
        <f t="shared" si="25"/>
        <v>1716.58</v>
      </c>
      <c r="I96" s="184">
        <f t="shared" si="20"/>
        <v>1750.02</v>
      </c>
      <c r="J96" s="185">
        <f t="shared" si="2"/>
        <v>173251.98</v>
      </c>
      <c r="K96" s="186">
        <f t="shared" si="30"/>
        <v>169941.41999999998</v>
      </c>
      <c r="L96" s="187">
        <f t="shared" si="31"/>
        <v>3310.5600000000268</v>
      </c>
      <c r="M96" s="188">
        <f t="shared" si="26"/>
        <v>271.33175115450598</v>
      </c>
      <c r="N96" s="189">
        <f t="shared" si="27"/>
        <v>3581.8917511545328</v>
      </c>
      <c r="O96" s="188">
        <v>0</v>
      </c>
      <c r="P96" s="188">
        <v>0</v>
      </c>
      <c r="Q96" s="188">
        <v>0</v>
      </c>
      <c r="R96" s="189">
        <f t="shared" si="28"/>
        <v>3581.8917511545328</v>
      </c>
    </row>
    <row r="97" spans="1:18" x14ac:dyDescent="0.25">
      <c r="A97" s="146">
        <v>6</v>
      </c>
      <c r="B97" s="181">
        <f t="shared" si="4"/>
        <v>45078</v>
      </c>
      <c r="C97" s="201">
        <f t="shared" si="32"/>
        <v>45112</v>
      </c>
      <c r="D97" s="201">
        <f t="shared" si="32"/>
        <v>45131</v>
      </c>
      <c r="E97" s="52" t="s">
        <v>8</v>
      </c>
      <c r="F97" s="146">
        <v>9</v>
      </c>
      <c r="G97" s="183">
        <v>149</v>
      </c>
      <c r="H97" s="184">
        <f t="shared" si="25"/>
        <v>1716.58</v>
      </c>
      <c r="I97" s="184">
        <f t="shared" si="20"/>
        <v>1750.02</v>
      </c>
      <c r="J97" s="185">
        <f t="shared" si="2"/>
        <v>260752.98</v>
      </c>
      <c r="K97" s="186">
        <f t="shared" si="30"/>
        <v>255770.41999999998</v>
      </c>
      <c r="L97" s="191">
        <f t="shared" si="31"/>
        <v>4982.5600000000268</v>
      </c>
      <c r="M97" s="188">
        <f t="shared" si="26"/>
        <v>408.36798911132712</v>
      </c>
      <c r="N97" s="189">
        <f t="shared" si="27"/>
        <v>5390.9279891113538</v>
      </c>
      <c r="O97" s="188">
        <v>0</v>
      </c>
      <c r="P97" s="188">
        <v>0</v>
      </c>
      <c r="Q97" s="188">
        <v>0</v>
      </c>
      <c r="R97" s="189">
        <f t="shared" si="28"/>
        <v>5390.9279891113538</v>
      </c>
    </row>
    <row r="98" spans="1:18" x14ac:dyDescent="0.25">
      <c r="A98" s="110">
        <v>7</v>
      </c>
      <c r="B98" s="181">
        <f t="shared" si="4"/>
        <v>45108</v>
      </c>
      <c r="C98" s="201">
        <f t="shared" si="32"/>
        <v>45141</v>
      </c>
      <c r="D98" s="201">
        <f t="shared" si="32"/>
        <v>45162</v>
      </c>
      <c r="E98" s="52" t="s">
        <v>8</v>
      </c>
      <c r="F98" s="146">
        <v>9</v>
      </c>
      <c r="G98" s="183">
        <v>148</v>
      </c>
      <c r="H98" s="184">
        <f t="shared" si="25"/>
        <v>1716.58</v>
      </c>
      <c r="I98" s="184">
        <f t="shared" si="20"/>
        <v>1750.02</v>
      </c>
      <c r="J98" s="185">
        <f t="shared" si="2"/>
        <v>259002.96</v>
      </c>
      <c r="K98" s="192">
        <f t="shared" si="30"/>
        <v>254053.84</v>
      </c>
      <c r="L98" s="191">
        <f t="shared" si="31"/>
        <v>4949.1199999999953</v>
      </c>
      <c r="M98" s="188">
        <f t="shared" si="26"/>
        <v>405.62726435219071</v>
      </c>
      <c r="N98" s="189">
        <f t="shared" si="27"/>
        <v>5354.747264352186</v>
      </c>
      <c r="O98" s="188">
        <v>0</v>
      </c>
      <c r="P98" s="188">
        <v>0</v>
      </c>
      <c r="Q98" s="188">
        <v>0</v>
      </c>
      <c r="R98" s="189">
        <f t="shared" si="28"/>
        <v>5354.747264352186</v>
      </c>
    </row>
    <row r="99" spans="1:18" x14ac:dyDescent="0.25">
      <c r="A99" s="146">
        <v>8</v>
      </c>
      <c r="B99" s="181">
        <f t="shared" si="4"/>
        <v>45139</v>
      </c>
      <c r="C99" s="201">
        <f t="shared" si="32"/>
        <v>45174</v>
      </c>
      <c r="D99" s="201">
        <f t="shared" si="32"/>
        <v>45194</v>
      </c>
      <c r="E99" s="52" t="s">
        <v>8</v>
      </c>
      <c r="F99" s="146">
        <v>9</v>
      </c>
      <c r="G99" s="183">
        <v>160</v>
      </c>
      <c r="H99" s="184">
        <f t="shared" si="25"/>
        <v>1716.58</v>
      </c>
      <c r="I99" s="184">
        <f t="shared" si="20"/>
        <v>1750.02</v>
      </c>
      <c r="J99" s="185">
        <f t="shared" si="2"/>
        <v>280003.20000000001</v>
      </c>
      <c r="K99" s="192">
        <f t="shared" si="30"/>
        <v>274652.79999999999</v>
      </c>
      <c r="L99" s="191">
        <f t="shared" si="31"/>
        <v>5350.4000000000233</v>
      </c>
      <c r="M99" s="188">
        <f t="shared" si="26"/>
        <v>438.51596146182783</v>
      </c>
      <c r="N99" s="189">
        <f t="shared" si="27"/>
        <v>5788.9159614618511</v>
      </c>
      <c r="O99" s="188">
        <v>0</v>
      </c>
      <c r="P99" s="188">
        <v>0</v>
      </c>
      <c r="Q99" s="188">
        <v>0</v>
      </c>
      <c r="R99" s="189">
        <f t="shared" si="28"/>
        <v>5788.9159614618511</v>
      </c>
    </row>
    <row r="100" spans="1:18" x14ac:dyDescent="0.25">
      <c r="A100" s="146">
        <v>9</v>
      </c>
      <c r="B100" s="181">
        <f t="shared" si="4"/>
        <v>45170</v>
      </c>
      <c r="C100" s="201">
        <f t="shared" si="32"/>
        <v>45203</v>
      </c>
      <c r="D100" s="201">
        <f t="shared" si="32"/>
        <v>45223</v>
      </c>
      <c r="E100" s="52" t="s">
        <v>8</v>
      </c>
      <c r="F100" s="146">
        <v>9</v>
      </c>
      <c r="G100" s="183">
        <v>155</v>
      </c>
      <c r="H100" s="184">
        <f t="shared" si="25"/>
        <v>1716.58</v>
      </c>
      <c r="I100" s="184">
        <f t="shared" si="20"/>
        <v>1750.02</v>
      </c>
      <c r="J100" s="185">
        <f t="shared" si="2"/>
        <v>271253.09999999998</v>
      </c>
      <c r="K100" s="192">
        <f t="shared" si="30"/>
        <v>266069.89999999997</v>
      </c>
      <c r="L100" s="191">
        <f t="shared" si="31"/>
        <v>5183.2000000000116</v>
      </c>
      <c r="M100" s="188">
        <f t="shared" si="26"/>
        <v>424.81233766614565</v>
      </c>
      <c r="N100" s="189">
        <f t="shared" si="27"/>
        <v>5608.0123376661577</v>
      </c>
      <c r="O100" s="188">
        <v>0</v>
      </c>
      <c r="P100" s="188">
        <v>0</v>
      </c>
      <c r="Q100" s="188">
        <v>0</v>
      </c>
      <c r="R100" s="189">
        <f t="shared" si="28"/>
        <v>5608.0123376661577</v>
      </c>
    </row>
    <row r="101" spans="1:18" x14ac:dyDescent="0.25">
      <c r="A101" s="110">
        <v>10</v>
      </c>
      <c r="B101" s="181">
        <f t="shared" si="4"/>
        <v>45200</v>
      </c>
      <c r="C101" s="201">
        <f t="shared" si="32"/>
        <v>45233</v>
      </c>
      <c r="D101" s="201">
        <f t="shared" si="32"/>
        <v>45254</v>
      </c>
      <c r="E101" s="52" t="s">
        <v>8</v>
      </c>
      <c r="F101" s="146">
        <v>9</v>
      </c>
      <c r="G101" s="183">
        <v>110</v>
      </c>
      <c r="H101" s="184">
        <f t="shared" si="25"/>
        <v>1716.58</v>
      </c>
      <c r="I101" s="184">
        <f t="shared" si="20"/>
        <v>1750.02</v>
      </c>
      <c r="J101" s="185">
        <f t="shared" si="2"/>
        <v>192502.2</v>
      </c>
      <c r="K101" s="192">
        <f t="shared" si="30"/>
        <v>188823.8</v>
      </c>
      <c r="L101" s="191">
        <f t="shared" si="31"/>
        <v>3678.4000000000233</v>
      </c>
      <c r="M101" s="188">
        <f t="shared" si="26"/>
        <v>301.47972350500663</v>
      </c>
      <c r="N101" s="189">
        <f t="shared" si="27"/>
        <v>3979.8797235050297</v>
      </c>
      <c r="O101" s="188">
        <v>0</v>
      </c>
      <c r="P101" s="188">
        <v>0</v>
      </c>
      <c r="Q101" s="188">
        <v>0</v>
      </c>
      <c r="R101" s="189">
        <f t="shared" si="28"/>
        <v>3979.8797235050297</v>
      </c>
    </row>
    <row r="102" spans="1:18" x14ac:dyDescent="0.25">
      <c r="A102" s="146">
        <v>11</v>
      </c>
      <c r="B102" s="181">
        <f t="shared" si="4"/>
        <v>45231</v>
      </c>
      <c r="C102" s="201">
        <f t="shared" si="32"/>
        <v>45266</v>
      </c>
      <c r="D102" s="201">
        <f t="shared" si="32"/>
        <v>45285</v>
      </c>
      <c r="E102" s="52" t="s">
        <v>8</v>
      </c>
      <c r="F102" s="146">
        <v>9</v>
      </c>
      <c r="G102" s="183">
        <v>70</v>
      </c>
      <c r="H102" s="184">
        <f t="shared" si="25"/>
        <v>1716.58</v>
      </c>
      <c r="I102" s="184">
        <f t="shared" si="20"/>
        <v>1750.02</v>
      </c>
      <c r="J102" s="185">
        <f t="shared" si="2"/>
        <v>122501.4</v>
      </c>
      <c r="K102" s="192">
        <f t="shared" si="30"/>
        <v>120160.59999999999</v>
      </c>
      <c r="L102" s="191">
        <f t="shared" si="31"/>
        <v>2340.8000000000029</v>
      </c>
      <c r="M102" s="188">
        <f t="shared" si="26"/>
        <v>191.85073313954965</v>
      </c>
      <c r="N102" s="189">
        <f t="shared" si="27"/>
        <v>2532.6507331395524</v>
      </c>
      <c r="O102" s="188">
        <v>0</v>
      </c>
      <c r="P102" s="188">
        <v>0</v>
      </c>
      <c r="Q102" s="188">
        <v>0</v>
      </c>
      <c r="R102" s="189">
        <f t="shared" si="28"/>
        <v>2532.6507331395524</v>
      </c>
    </row>
    <row r="103" spans="1:18" s="205" customFormat="1" x14ac:dyDescent="0.25">
      <c r="A103" s="146">
        <v>12</v>
      </c>
      <c r="B103" s="203">
        <f t="shared" si="4"/>
        <v>45261</v>
      </c>
      <c r="C103" s="201">
        <f t="shared" si="32"/>
        <v>45294</v>
      </c>
      <c r="D103" s="201">
        <f t="shared" si="32"/>
        <v>45315</v>
      </c>
      <c r="E103" s="204" t="s">
        <v>8</v>
      </c>
      <c r="F103" s="157">
        <v>9</v>
      </c>
      <c r="G103" s="183">
        <v>66</v>
      </c>
      <c r="H103" s="193">
        <f t="shared" si="25"/>
        <v>1716.58</v>
      </c>
      <c r="I103" s="193">
        <f t="shared" si="20"/>
        <v>1750.02</v>
      </c>
      <c r="J103" s="194">
        <f t="shared" si="2"/>
        <v>115501.31999999999</v>
      </c>
      <c r="K103" s="195">
        <f t="shared" si="30"/>
        <v>113294.28</v>
      </c>
      <c r="L103" s="196">
        <f t="shared" si="31"/>
        <v>2207.0399999999936</v>
      </c>
      <c r="M103" s="188">
        <f t="shared" si="26"/>
        <v>180.88783410300397</v>
      </c>
      <c r="N103" s="189">
        <f t="shared" si="27"/>
        <v>2387.9278341029976</v>
      </c>
      <c r="O103" s="188">
        <v>0</v>
      </c>
      <c r="P103" s="188">
        <v>0</v>
      </c>
      <c r="Q103" s="188">
        <v>0</v>
      </c>
      <c r="R103" s="189">
        <f t="shared" si="28"/>
        <v>2387.9278341029976</v>
      </c>
    </row>
    <row r="104" spans="1:18" x14ac:dyDescent="0.25">
      <c r="A104" s="110">
        <v>1</v>
      </c>
      <c r="B104" s="181">
        <f t="shared" si="4"/>
        <v>44927</v>
      </c>
      <c r="C104" s="198">
        <f t="shared" si="32"/>
        <v>44960</v>
      </c>
      <c r="D104" s="198">
        <f t="shared" si="32"/>
        <v>44981</v>
      </c>
      <c r="E104" s="182" t="s">
        <v>19</v>
      </c>
      <c r="F104" s="110">
        <v>9</v>
      </c>
      <c r="G104" s="183">
        <v>63</v>
      </c>
      <c r="H104" s="184">
        <f t="shared" si="25"/>
        <v>1716.58</v>
      </c>
      <c r="I104" s="184">
        <f t="shared" si="20"/>
        <v>1750.02</v>
      </c>
      <c r="J104" s="185">
        <f t="shared" si="2"/>
        <v>110251.26</v>
      </c>
      <c r="K104" s="186">
        <f t="shared" si="30"/>
        <v>108144.54</v>
      </c>
      <c r="L104" s="187">
        <f t="shared" si="31"/>
        <v>2106.7200000000012</v>
      </c>
      <c r="M104" s="188">
        <f t="shared" si="26"/>
        <v>172.66565982559467</v>
      </c>
      <c r="N104" s="189">
        <f t="shared" si="27"/>
        <v>2279.3856598255957</v>
      </c>
      <c r="O104" s="188">
        <v>0</v>
      </c>
      <c r="P104" s="188">
        <v>0</v>
      </c>
      <c r="Q104" s="188">
        <v>0</v>
      </c>
      <c r="R104" s="189">
        <f t="shared" si="28"/>
        <v>2279.3856598255957</v>
      </c>
    </row>
    <row r="105" spans="1:18" x14ac:dyDescent="0.25">
      <c r="A105" s="146">
        <v>2</v>
      </c>
      <c r="B105" s="181">
        <f t="shared" si="4"/>
        <v>44958</v>
      </c>
      <c r="C105" s="201">
        <f t="shared" si="32"/>
        <v>44988</v>
      </c>
      <c r="D105" s="201">
        <f t="shared" si="32"/>
        <v>45009</v>
      </c>
      <c r="E105" s="190" t="s">
        <v>19</v>
      </c>
      <c r="F105" s="146">
        <v>9</v>
      </c>
      <c r="G105" s="183">
        <v>63</v>
      </c>
      <c r="H105" s="184">
        <f t="shared" si="25"/>
        <v>1716.58</v>
      </c>
      <c r="I105" s="184">
        <f t="shared" si="20"/>
        <v>1750.02</v>
      </c>
      <c r="J105" s="185">
        <f t="shared" si="2"/>
        <v>110251.26</v>
      </c>
      <c r="K105" s="186">
        <f t="shared" si="30"/>
        <v>108144.54</v>
      </c>
      <c r="L105" s="187">
        <f t="shared" si="31"/>
        <v>2106.7200000000012</v>
      </c>
      <c r="M105" s="188">
        <f t="shared" si="26"/>
        <v>172.66565982559467</v>
      </c>
      <c r="N105" s="189">
        <f t="shared" si="27"/>
        <v>2279.3856598255957</v>
      </c>
      <c r="O105" s="188">
        <v>0</v>
      </c>
      <c r="P105" s="188">
        <v>0</v>
      </c>
      <c r="Q105" s="188">
        <v>0</v>
      </c>
      <c r="R105" s="189">
        <f t="shared" si="28"/>
        <v>2279.3856598255957</v>
      </c>
    </row>
    <row r="106" spans="1:18" x14ac:dyDescent="0.25">
      <c r="A106" s="146">
        <v>3</v>
      </c>
      <c r="B106" s="181">
        <f t="shared" si="4"/>
        <v>44986</v>
      </c>
      <c r="C106" s="201">
        <f t="shared" si="32"/>
        <v>45021</v>
      </c>
      <c r="D106" s="201">
        <f t="shared" si="32"/>
        <v>45040</v>
      </c>
      <c r="E106" s="190" t="s">
        <v>19</v>
      </c>
      <c r="F106" s="146">
        <v>9</v>
      </c>
      <c r="G106" s="183">
        <v>67</v>
      </c>
      <c r="H106" s="184">
        <f t="shared" si="25"/>
        <v>1716.58</v>
      </c>
      <c r="I106" s="184">
        <f t="shared" si="20"/>
        <v>1750.02</v>
      </c>
      <c r="J106" s="185">
        <f t="shared" si="2"/>
        <v>117251.34</v>
      </c>
      <c r="K106" s="186">
        <f t="shared" si="30"/>
        <v>115010.86</v>
      </c>
      <c r="L106" s="187">
        <f>+J106-K106</f>
        <v>2240.4799999999959</v>
      </c>
      <c r="M106" s="188">
        <f t="shared" si="26"/>
        <v>183.62855886214041</v>
      </c>
      <c r="N106" s="189">
        <f t="shared" si="27"/>
        <v>2424.1085588621363</v>
      </c>
      <c r="O106" s="188">
        <v>0</v>
      </c>
      <c r="P106" s="188">
        <v>0</v>
      </c>
      <c r="Q106" s="188">
        <v>0</v>
      </c>
      <c r="R106" s="189">
        <f t="shared" si="28"/>
        <v>2424.1085588621363</v>
      </c>
    </row>
    <row r="107" spans="1:18" x14ac:dyDescent="0.25">
      <c r="A107" s="110">
        <v>4</v>
      </c>
      <c r="B107" s="181">
        <f t="shared" si="4"/>
        <v>45017</v>
      </c>
      <c r="C107" s="201">
        <f t="shared" si="32"/>
        <v>45049</v>
      </c>
      <c r="D107" s="201">
        <f t="shared" si="32"/>
        <v>45070</v>
      </c>
      <c r="E107" s="52" t="s">
        <v>19</v>
      </c>
      <c r="F107" s="146">
        <v>9</v>
      </c>
      <c r="G107" s="183">
        <v>62</v>
      </c>
      <c r="H107" s="184">
        <f t="shared" si="25"/>
        <v>1716.58</v>
      </c>
      <c r="I107" s="184">
        <f t="shared" si="20"/>
        <v>1750.02</v>
      </c>
      <c r="J107" s="185">
        <f t="shared" si="2"/>
        <v>108501.24</v>
      </c>
      <c r="K107" s="186">
        <f t="shared" si="30"/>
        <v>106427.95999999999</v>
      </c>
      <c r="L107" s="187">
        <f t="shared" ref="L107:L115" si="33">+J107-K107</f>
        <v>2073.2800000000134</v>
      </c>
      <c r="M107" s="188">
        <f t="shared" si="26"/>
        <v>169.92493506645826</v>
      </c>
      <c r="N107" s="189">
        <f t="shared" si="27"/>
        <v>2243.2049350664715</v>
      </c>
      <c r="O107" s="188">
        <v>0</v>
      </c>
      <c r="P107" s="188">
        <v>0</v>
      </c>
      <c r="Q107" s="188">
        <v>0</v>
      </c>
      <c r="R107" s="189">
        <f t="shared" si="28"/>
        <v>2243.2049350664715</v>
      </c>
    </row>
    <row r="108" spans="1:18" x14ac:dyDescent="0.25">
      <c r="A108" s="146">
        <v>5</v>
      </c>
      <c r="B108" s="181">
        <f t="shared" si="4"/>
        <v>45047</v>
      </c>
      <c r="C108" s="201">
        <f t="shared" si="32"/>
        <v>45082</v>
      </c>
      <c r="D108" s="201">
        <f t="shared" si="32"/>
        <v>45103</v>
      </c>
      <c r="E108" s="52" t="s">
        <v>19</v>
      </c>
      <c r="F108" s="146">
        <v>9</v>
      </c>
      <c r="G108" s="183">
        <v>51</v>
      </c>
      <c r="H108" s="184">
        <f t="shared" si="25"/>
        <v>1716.58</v>
      </c>
      <c r="I108" s="184">
        <f t="shared" ref="I108:I127" si="34">$J$3</f>
        <v>1750.02</v>
      </c>
      <c r="J108" s="185">
        <f t="shared" si="2"/>
        <v>89251.02</v>
      </c>
      <c r="K108" s="186">
        <f t="shared" si="30"/>
        <v>87545.58</v>
      </c>
      <c r="L108" s="187">
        <f t="shared" si="33"/>
        <v>1705.4400000000023</v>
      </c>
      <c r="M108" s="188">
        <f t="shared" si="26"/>
        <v>139.77696271595761</v>
      </c>
      <c r="N108" s="189">
        <f t="shared" si="27"/>
        <v>1845.2169627159599</v>
      </c>
      <c r="O108" s="188">
        <v>0</v>
      </c>
      <c r="P108" s="188">
        <v>0</v>
      </c>
      <c r="Q108" s="188">
        <v>0</v>
      </c>
      <c r="R108" s="189">
        <f t="shared" si="28"/>
        <v>1845.2169627159599</v>
      </c>
    </row>
    <row r="109" spans="1:18" x14ac:dyDescent="0.25">
      <c r="A109" s="146">
        <v>6</v>
      </c>
      <c r="B109" s="181">
        <f t="shared" ref="B109:B148" si="35">DATE($R$1,A109,1)</f>
        <v>45078</v>
      </c>
      <c r="C109" s="201">
        <f t="shared" si="32"/>
        <v>45112</v>
      </c>
      <c r="D109" s="201">
        <f t="shared" si="32"/>
        <v>45131</v>
      </c>
      <c r="E109" s="52" t="s">
        <v>19</v>
      </c>
      <c r="F109" s="146">
        <v>9</v>
      </c>
      <c r="G109" s="183">
        <v>67</v>
      </c>
      <c r="H109" s="184">
        <f t="shared" si="25"/>
        <v>1716.58</v>
      </c>
      <c r="I109" s="184">
        <f t="shared" si="34"/>
        <v>1750.02</v>
      </c>
      <c r="J109" s="185">
        <f t="shared" ref="J109:J148" si="36">+$G109*I109</f>
        <v>117251.34</v>
      </c>
      <c r="K109" s="186">
        <f t="shared" si="30"/>
        <v>115010.86</v>
      </c>
      <c r="L109" s="191">
        <f t="shared" si="33"/>
        <v>2240.4799999999959</v>
      </c>
      <c r="M109" s="188">
        <f t="shared" si="26"/>
        <v>183.62855886214041</v>
      </c>
      <c r="N109" s="189">
        <f t="shared" si="27"/>
        <v>2424.1085588621363</v>
      </c>
      <c r="O109" s="188">
        <v>0</v>
      </c>
      <c r="P109" s="188">
        <v>0</v>
      </c>
      <c r="Q109" s="188">
        <v>0</v>
      </c>
      <c r="R109" s="189">
        <f t="shared" si="28"/>
        <v>2424.1085588621363</v>
      </c>
    </row>
    <row r="110" spans="1:18" x14ac:dyDescent="0.25">
      <c r="A110" s="110">
        <v>7</v>
      </c>
      <c r="B110" s="181">
        <f t="shared" si="35"/>
        <v>45108</v>
      </c>
      <c r="C110" s="201">
        <f t="shared" si="32"/>
        <v>45141</v>
      </c>
      <c r="D110" s="201">
        <f t="shared" si="32"/>
        <v>45162</v>
      </c>
      <c r="E110" s="52" t="s">
        <v>19</v>
      </c>
      <c r="F110" s="146">
        <v>9</v>
      </c>
      <c r="G110" s="183">
        <v>66</v>
      </c>
      <c r="H110" s="184">
        <f t="shared" si="25"/>
        <v>1716.58</v>
      </c>
      <c r="I110" s="184">
        <f t="shared" si="34"/>
        <v>1750.02</v>
      </c>
      <c r="J110" s="185">
        <f t="shared" si="36"/>
        <v>115501.31999999999</v>
      </c>
      <c r="K110" s="192">
        <f t="shared" si="30"/>
        <v>113294.28</v>
      </c>
      <c r="L110" s="191">
        <f t="shared" si="33"/>
        <v>2207.0399999999936</v>
      </c>
      <c r="M110" s="188">
        <f t="shared" si="26"/>
        <v>180.88783410300397</v>
      </c>
      <c r="N110" s="189">
        <f t="shared" si="27"/>
        <v>2387.9278341029976</v>
      </c>
      <c r="O110" s="188">
        <v>0</v>
      </c>
      <c r="P110" s="188">
        <v>0</v>
      </c>
      <c r="Q110" s="188">
        <v>0</v>
      </c>
      <c r="R110" s="189">
        <f t="shared" si="28"/>
        <v>2387.9278341029976</v>
      </c>
    </row>
    <row r="111" spans="1:18" x14ac:dyDescent="0.25">
      <c r="A111" s="146">
        <v>8</v>
      </c>
      <c r="B111" s="181">
        <f t="shared" si="35"/>
        <v>45139</v>
      </c>
      <c r="C111" s="201">
        <f t="shared" si="32"/>
        <v>45174</v>
      </c>
      <c r="D111" s="201">
        <f t="shared" si="32"/>
        <v>45194</v>
      </c>
      <c r="E111" s="52" t="s">
        <v>19</v>
      </c>
      <c r="F111" s="146">
        <v>9</v>
      </c>
      <c r="G111" s="183">
        <v>61</v>
      </c>
      <c r="H111" s="184">
        <f t="shared" si="25"/>
        <v>1716.58</v>
      </c>
      <c r="I111" s="184">
        <f t="shared" si="34"/>
        <v>1750.02</v>
      </c>
      <c r="J111" s="185">
        <f t="shared" si="36"/>
        <v>106751.22</v>
      </c>
      <c r="K111" s="192">
        <f t="shared" si="30"/>
        <v>104711.37999999999</v>
      </c>
      <c r="L111" s="191">
        <f t="shared" si="33"/>
        <v>2039.8400000000111</v>
      </c>
      <c r="M111" s="188">
        <f t="shared" si="26"/>
        <v>167.18421030732185</v>
      </c>
      <c r="N111" s="189">
        <f t="shared" si="27"/>
        <v>2207.0242103073329</v>
      </c>
      <c r="O111" s="188">
        <v>0</v>
      </c>
      <c r="P111" s="188">
        <v>0</v>
      </c>
      <c r="Q111" s="188">
        <v>0</v>
      </c>
      <c r="R111" s="189">
        <f t="shared" si="28"/>
        <v>2207.0242103073329</v>
      </c>
    </row>
    <row r="112" spans="1:18" x14ac:dyDescent="0.25">
      <c r="A112" s="146">
        <v>9</v>
      </c>
      <c r="B112" s="181">
        <f t="shared" si="35"/>
        <v>45170</v>
      </c>
      <c r="C112" s="201">
        <f t="shared" si="32"/>
        <v>45203</v>
      </c>
      <c r="D112" s="201">
        <f t="shared" si="32"/>
        <v>45223</v>
      </c>
      <c r="E112" s="52" t="s">
        <v>19</v>
      </c>
      <c r="F112" s="146">
        <v>9</v>
      </c>
      <c r="G112" s="183">
        <v>55</v>
      </c>
      <c r="H112" s="184">
        <f t="shared" si="25"/>
        <v>1716.58</v>
      </c>
      <c r="I112" s="184">
        <f t="shared" si="34"/>
        <v>1750.02</v>
      </c>
      <c r="J112" s="185">
        <f t="shared" si="36"/>
        <v>96251.1</v>
      </c>
      <c r="K112" s="192">
        <f t="shared" si="30"/>
        <v>94411.9</v>
      </c>
      <c r="L112" s="191">
        <f t="shared" si="33"/>
        <v>1839.2000000000116</v>
      </c>
      <c r="M112" s="188">
        <f t="shared" si="26"/>
        <v>150.73986175250332</v>
      </c>
      <c r="N112" s="189">
        <f t="shared" si="27"/>
        <v>1989.9398617525148</v>
      </c>
      <c r="O112" s="188">
        <v>0</v>
      </c>
      <c r="P112" s="188">
        <v>0</v>
      </c>
      <c r="Q112" s="188">
        <v>0</v>
      </c>
      <c r="R112" s="189">
        <f t="shared" si="28"/>
        <v>1989.9398617525148</v>
      </c>
    </row>
    <row r="113" spans="1:18" x14ac:dyDescent="0.25">
      <c r="A113" s="110">
        <v>10</v>
      </c>
      <c r="B113" s="181">
        <f t="shared" si="35"/>
        <v>45200</v>
      </c>
      <c r="C113" s="201">
        <f t="shared" si="32"/>
        <v>45233</v>
      </c>
      <c r="D113" s="201">
        <f t="shared" si="32"/>
        <v>45254</v>
      </c>
      <c r="E113" s="52" t="s">
        <v>19</v>
      </c>
      <c r="F113" s="146">
        <v>9</v>
      </c>
      <c r="G113" s="183">
        <v>59</v>
      </c>
      <c r="H113" s="184">
        <f t="shared" si="25"/>
        <v>1716.58</v>
      </c>
      <c r="I113" s="184">
        <f t="shared" si="34"/>
        <v>1750.02</v>
      </c>
      <c r="J113" s="185">
        <f t="shared" si="36"/>
        <v>103251.18</v>
      </c>
      <c r="K113" s="192">
        <f t="shared" si="30"/>
        <v>101278.22</v>
      </c>
      <c r="L113" s="191">
        <f t="shared" si="33"/>
        <v>1972.9599999999919</v>
      </c>
      <c r="M113" s="188">
        <f t="shared" si="26"/>
        <v>161.70276078904899</v>
      </c>
      <c r="N113" s="189">
        <f t="shared" si="27"/>
        <v>2134.6627607890409</v>
      </c>
      <c r="O113" s="188">
        <v>0</v>
      </c>
      <c r="P113" s="188">
        <v>0</v>
      </c>
      <c r="Q113" s="188">
        <v>0</v>
      </c>
      <c r="R113" s="189">
        <f t="shared" si="28"/>
        <v>2134.6627607890409</v>
      </c>
    </row>
    <row r="114" spans="1:18" x14ac:dyDescent="0.25">
      <c r="A114" s="146">
        <v>11</v>
      </c>
      <c r="B114" s="181">
        <f t="shared" si="35"/>
        <v>45231</v>
      </c>
      <c r="C114" s="201">
        <f t="shared" si="32"/>
        <v>45266</v>
      </c>
      <c r="D114" s="201">
        <f t="shared" si="32"/>
        <v>45285</v>
      </c>
      <c r="E114" s="52" t="s">
        <v>19</v>
      </c>
      <c r="F114" s="146">
        <v>9</v>
      </c>
      <c r="G114" s="183">
        <v>63</v>
      </c>
      <c r="H114" s="184">
        <f t="shared" si="25"/>
        <v>1716.58</v>
      </c>
      <c r="I114" s="184">
        <f t="shared" si="34"/>
        <v>1750.02</v>
      </c>
      <c r="J114" s="185">
        <f t="shared" si="36"/>
        <v>110251.26</v>
      </c>
      <c r="K114" s="192">
        <f t="shared" si="30"/>
        <v>108144.54</v>
      </c>
      <c r="L114" s="191">
        <f t="shared" si="33"/>
        <v>2106.7200000000012</v>
      </c>
      <c r="M114" s="188">
        <f t="shared" si="26"/>
        <v>172.66565982559467</v>
      </c>
      <c r="N114" s="189">
        <f t="shared" si="27"/>
        <v>2279.3856598255957</v>
      </c>
      <c r="O114" s="188">
        <v>0</v>
      </c>
      <c r="P114" s="188">
        <v>0</v>
      </c>
      <c r="Q114" s="188">
        <v>0</v>
      </c>
      <c r="R114" s="189">
        <f t="shared" si="28"/>
        <v>2279.3856598255957</v>
      </c>
    </row>
    <row r="115" spans="1:18" s="205" customFormat="1" x14ac:dyDescent="0.25">
      <c r="A115" s="146">
        <v>12</v>
      </c>
      <c r="B115" s="203">
        <f t="shared" si="35"/>
        <v>45261</v>
      </c>
      <c r="C115" s="206">
        <f t="shared" si="32"/>
        <v>45294</v>
      </c>
      <c r="D115" s="206">
        <f t="shared" si="32"/>
        <v>45315</v>
      </c>
      <c r="E115" s="204" t="s">
        <v>19</v>
      </c>
      <c r="F115" s="157">
        <v>9</v>
      </c>
      <c r="G115" s="183">
        <v>63</v>
      </c>
      <c r="H115" s="193">
        <f t="shared" si="25"/>
        <v>1716.58</v>
      </c>
      <c r="I115" s="193">
        <f t="shared" si="34"/>
        <v>1750.02</v>
      </c>
      <c r="J115" s="194">
        <f t="shared" si="36"/>
        <v>110251.26</v>
      </c>
      <c r="K115" s="195">
        <f t="shared" si="30"/>
        <v>108144.54</v>
      </c>
      <c r="L115" s="196">
        <f t="shared" si="33"/>
        <v>2106.7200000000012</v>
      </c>
      <c r="M115" s="188">
        <f t="shared" si="26"/>
        <v>172.66565982559467</v>
      </c>
      <c r="N115" s="189">
        <f t="shared" si="27"/>
        <v>2279.3856598255957</v>
      </c>
      <c r="O115" s="188">
        <v>0</v>
      </c>
      <c r="P115" s="188">
        <v>0</v>
      </c>
      <c r="Q115" s="188">
        <v>0</v>
      </c>
      <c r="R115" s="189">
        <f t="shared" si="28"/>
        <v>2279.3856598255957</v>
      </c>
    </row>
    <row r="116" spans="1:18" x14ac:dyDescent="0.25">
      <c r="A116" s="110">
        <v>1</v>
      </c>
      <c r="B116" s="181">
        <f t="shared" si="35"/>
        <v>44927</v>
      </c>
      <c r="C116" s="201">
        <f t="shared" si="32"/>
        <v>44960</v>
      </c>
      <c r="D116" s="201">
        <f t="shared" si="32"/>
        <v>44981</v>
      </c>
      <c r="E116" s="182" t="s">
        <v>13</v>
      </c>
      <c r="F116" s="110">
        <v>9</v>
      </c>
      <c r="G116" s="183">
        <v>967</v>
      </c>
      <c r="H116" s="184">
        <f t="shared" si="25"/>
        <v>1716.58</v>
      </c>
      <c r="I116" s="184">
        <f t="shared" si="34"/>
        <v>1750.02</v>
      </c>
      <c r="J116" s="185">
        <f t="shared" si="36"/>
        <v>1692269.34</v>
      </c>
      <c r="K116" s="186">
        <f t="shared" si="30"/>
        <v>1659932.8599999999</v>
      </c>
      <c r="L116" s="187">
        <f>+J116-K116</f>
        <v>32336.480000000214</v>
      </c>
      <c r="M116" s="188">
        <f t="shared" si="26"/>
        <v>2650.2808420849219</v>
      </c>
      <c r="N116" s="189">
        <f t="shared" si="27"/>
        <v>34986.760842085139</v>
      </c>
      <c r="O116" s="188">
        <v>0</v>
      </c>
      <c r="P116" s="188">
        <v>0</v>
      </c>
      <c r="Q116" s="188">
        <v>0</v>
      </c>
      <c r="R116" s="189">
        <f t="shared" si="28"/>
        <v>34986.760842085139</v>
      </c>
    </row>
    <row r="117" spans="1:18" x14ac:dyDescent="0.25">
      <c r="A117" s="146">
        <v>2</v>
      </c>
      <c r="B117" s="181">
        <f t="shared" si="35"/>
        <v>44958</v>
      </c>
      <c r="C117" s="201">
        <f t="shared" ref="C117:D139" si="37">+C105</f>
        <v>44988</v>
      </c>
      <c r="D117" s="201">
        <f t="shared" si="37"/>
        <v>45009</v>
      </c>
      <c r="E117" s="190" t="s">
        <v>13</v>
      </c>
      <c r="F117" s="146">
        <v>9</v>
      </c>
      <c r="G117" s="183">
        <v>955</v>
      </c>
      <c r="H117" s="184">
        <f t="shared" si="25"/>
        <v>1716.58</v>
      </c>
      <c r="I117" s="184">
        <f t="shared" si="34"/>
        <v>1750.02</v>
      </c>
      <c r="J117" s="185">
        <f t="shared" si="36"/>
        <v>1671269.1</v>
      </c>
      <c r="K117" s="186">
        <f t="shared" si="30"/>
        <v>1639333.9</v>
      </c>
      <c r="L117" s="187">
        <f>+J117-K117</f>
        <v>31935.200000000186</v>
      </c>
      <c r="M117" s="188">
        <f t="shared" si="26"/>
        <v>2617.3921449752847</v>
      </c>
      <c r="N117" s="189">
        <f t="shared" si="27"/>
        <v>34552.592144975468</v>
      </c>
      <c r="O117" s="188">
        <v>0</v>
      </c>
      <c r="P117" s="188">
        <v>0</v>
      </c>
      <c r="Q117" s="188">
        <v>0</v>
      </c>
      <c r="R117" s="189">
        <f t="shared" si="28"/>
        <v>34552.592144975468</v>
      </c>
    </row>
    <row r="118" spans="1:18" x14ac:dyDescent="0.25">
      <c r="A118" s="146">
        <v>3</v>
      </c>
      <c r="B118" s="181">
        <f t="shared" si="35"/>
        <v>44986</v>
      </c>
      <c r="C118" s="201">
        <f t="shared" si="37"/>
        <v>45021</v>
      </c>
      <c r="D118" s="201">
        <f t="shared" si="37"/>
        <v>45040</v>
      </c>
      <c r="E118" s="190" t="s">
        <v>13</v>
      </c>
      <c r="F118" s="146">
        <v>9</v>
      </c>
      <c r="G118" s="183">
        <v>872</v>
      </c>
      <c r="H118" s="184">
        <f t="shared" si="25"/>
        <v>1716.58</v>
      </c>
      <c r="I118" s="184">
        <f t="shared" si="34"/>
        <v>1750.02</v>
      </c>
      <c r="J118" s="185">
        <f t="shared" si="36"/>
        <v>1526017.44</v>
      </c>
      <c r="K118" s="186">
        <f t="shared" si="30"/>
        <v>1496857.76</v>
      </c>
      <c r="L118" s="187">
        <f>+J118-K118</f>
        <v>29159.679999999935</v>
      </c>
      <c r="M118" s="188">
        <f t="shared" si="26"/>
        <v>2389.9119899669613</v>
      </c>
      <c r="N118" s="189">
        <f t="shared" si="27"/>
        <v>31549.591989966895</v>
      </c>
      <c r="O118" s="188">
        <v>0</v>
      </c>
      <c r="P118" s="188">
        <v>0</v>
      </c>
      <c r="Q118" s="188">
        <v>0</v>
      </c>
      <c r="R118" s="189">
        <f t="shared" si="28"/>
        <v>31549.591989966895</v>
      </c>
    </row>
    <row r="119" spans="1:18" x14ac:dyDescent="0.25">
      <c r="A119" s="110">
        <v>4</v>
      </c>
      <c r="B119" s="181">
        <f t="shared" si="35"/>
        <v>45017</v>
      </c>
      <c r="C119" s="201">
        <f t="shared" si="37"/>
        <v>45049</v>
      </c>
      <c r="D119" s="201">
        <f t="shared" si="37"/>
        <v>45070</v>
      </c>
      <c r="E119" s="52" t="s">
        <v>13</v>
      </c>
      <c r="F119" s="146">
        <v>9</v>
      </c>
      <c r="G119" s="183">
        <v>602</v>
      </c>
      <c r="H119" s="184">
        <f t="shared" si="25"/>
        <v>1716.58</v>
      </c>
      <c r="I119" s="184">
        <f t="shared" si="34"/>
        <v>1750.02</v>
      </c>
      <c r="J119" s="185">
        <f t="shared" si="36"/>
        <v>1053512.04</v>
      </c>
      <c r="K119" s="186">
        <f t="shared" si="30"/>
        <v>1033381.1599999999</v>
      </c>
      <c r="L119" s="187">
        <f t="shared" ref="L119:L127" si="38">+J119-K119</f>
        <v>20130.880000000121</v>
      </c>
      <c r="M119" s="188">
        <f t="shared" si="26"/>
        <v>1649.9163050001271</v>
      </c>
      <c r="N119" s="189">
        <f t="shared" si="27"/>
        <v>21780.796305000247</v>
      </c>
      <c r="O119" s="188">
        <v>0</v>
      </c>
      <c r="P119" s="188">
        <v>0</v>
      </c>
      <c r="Q119" s="188">
        <v>0</v>
      </c>
      <c r="R119" s="189">
        <f t="shared" si="28"/>
        <v>21780.796305000247</v>
      </c>
    </row>
    <row r="120" spans="1:18" x14ac:dyDescent="0.25">
      <c r="A120" s="146">
        <v>5</v>
      </c>
      <c r="B120" s="181">
        <f t="shared" si="35"/>
        <v>45047</v>
      </c>
      <c r="C120" s="201">
        <f t="shared" si="37"/>
        <v>45082</v>
      </c>
      <c r="D120" s="201">
        <f t="shared" si="37"/>
        <v>45103</v>
      </c>
      <c r="E120" s="52" t="s">
        <v>13</v>
      </c>
      <c r="F120" s="146">
        <v>9</v>
      </c>
      <c r="G120" s="183">
        <v>711</v>
      </c>
      <c r="H120" s="184">
        <f t="shared" si="25"/>
        <v>1716.58</v>
      </c>
      <c r="I120" s="184">
        <f t="shared" si="34"/>
        <v>1750.02</v>
      </c>
      <c r="J120" s="185">
        <f t="shared" si="36"/>
        <v>1244264.22</v>
      </c>
      <c r="K120" s="186">
        <f t="shared" si="30"/>
        <v>1220488.3799999999</v>
      </c>
      <c r="L120" s="187">
        <f t="shared" si="38"/>
        <v>23775.840000000084</v>
      </c>
      <c r="M120" s="188">
        <f t="shared" si="26"/>
        <v>1948.6553037459971</v>
      </c>
      <c r="N120" s="189">
        <f t="shared" si="27"/>
        <v>25724.49530374608</v>
      </c>
      <c r="O120" s="188">
        <v>0</v>
      </c>
      <c r="P120" s="188">
        <v>0</v>
      </c>
      <c r="Q120" s="188">
        <v>0</v>
      </c>
      <c r="R120" s="189">
        <f t="shared" si="28"/>
        <v>25724.49530374608</v>
      </c>
    </row>
    <row r="121" spans="1:18" x14ac:dyDescent="0.25">
      <c r="A121" s="146">
        <v>6</v>
      </c>
      <c r="B121" s="181">
        <f t="shared" si="35"/>
        <v>45078</v>
      </c>
      <c r="C121" s="201">
        <f t="shared" si="37"/>
        <v>45112</v>
      </c>
      <c r="D121" s="201">
        <f t="shared" si="37"/>
        <v>45131</v>
      </c>
      <c r="E121" s="52" t="s">
        <v>13</v>
      </c>
      <c r="F121" s="146">
        <v>9</v>
      </c>
      <c r="G121" s="183">
        <v>936</v>
      </c>
      <c r="H121" s="184">
        <f t="shared" si="25"/>
        <v>1716.58</v>
      </c>
      <c r="I121" s="184">
        <f t="shared" si="34"/>
        <v>1750.02</v>
      </c>
      <c r="J121" s="185">
        <f t="shared" si="36"/>
        <v>1638018.72</v>
      </c>
      <c r="K121" s="186">
        <f t="shared" si="30"/>
        <v>1606718.88</v>
      </c>
      <c r="L121" s="191">
        <f t="shared" si="38"/>
        <v>31299.840000000084</v>
      </c>
      <c r="M121" s="188">
        <f t="shared" si="26"/>
        <v>2565.3183745516926</v>
      </c>
      <c r="N121" s="189">
        <f t="shared" si="27"/>
        <v>33865.158374551778</v>
      </c>
      <c r="O121" s="188">
        <v>0</v>
      </c>
      <c r="P121" s="188">
        <v>0</v>
      </c>
      <c r="Q121" s="188">
        <v>0</v>
      </c>
      <c r="R121" s="189">
        <f t="shared" si="28"/>
        <v>33865.158374551778</v>
      </c>
    </row>
    <row r="122" spans="1:18" x14ac:dyDescent="0.25">
      <c r="A122" s="110">
        <v>7</v>
      </c>
      <c r="B122" s="181">
        <f t="shared" si="35"/>
        <v>45108</v>
      </c>
      <c r="C122" s="201">
        <f t="shared" si="37"/>
        <v>45141</v>
      </c>
      <c r="D122" s="201">
        <f t="shared" si="37"/>
        <v>45162</v>
      </c>
      <c r="E122" s="52" t="s">
        <v>13</v>
      </c>
      <c r="F122" s="146">
        <v>9</v>
      </c>
      <c r="G122" s="183">
        <v>932</v>
      </c>
      <c r="H122" s="184">
        <f t="shared" si="25"/>
        <v>1716.58</v>
      </c>
      <c r="I122" s="184">
        <f t="shared" si="34"/>
        <v>1750.02</v>
      </c>
      <c r="J122" s="185">
        <f t="shared" si="36"/>
        <v>1631018.64</v>
      </c>
      <c r="K122" s="192">
        <f t="shared" si="30"/>
        <v>1599852.5599999998</v>
      </c>
      <c r="L122" s="191">
        <f t="shared" si="38"/>
        <v>31166.080000000075</v>
      </c>
      <c r="M122" s="188">
        <f t="shared" si="26"/>
        <v>2554.3554755151472</v>
      </c>
      <c r="N122" s="189">
        <f t="shared" si="27"/>
        <v>33720.435475515224</v>
      </c>
      <c r="O122" s="188">
        <v>0</v>
      </c>
      <c r="P122" s="188">
        <v>0</v>
      </c>
      <c r="Q122" s="188">
        <v>0</v>
      </c>
      <c r="R122" s="189">
        <f t="shared" si="28"/>
        <v>33720.435475515224</v>
      </c>
    </row>
    <row r="123" spans="1:18" x14ac:dyDescent="0.25">
      <c r="A123" s="146">
        <v>8</v>
      </c>
      <c r="B123" s="181">
        <f t="shared" si="35"/>
        <v>45139</v>
      </c>
      <c r="C123" s="201">
        <f t="shared" si="37"/>
        <v>45174</v>
      </c>
      <c r="D123" s="201">
        <f t="shared" si="37"/>
        <v>45194</v>
      </c>
      <c r="E123" s="52" t="s">
        <v>13</v>
      </c>
      <c r="F123" s="146">
        <v>9</v>
      </c>
      <c r="G123" s="183">
        <v>1025</v>
      </c>
      <c r="H123" s="184">
        <f t="shared" si="25"/>
        <v>1716.58</v>
      </c>
      <c r="I123" s="184">
        <f t="shared" si="34"/>
        <v>1750.02</v>
      </c>
      <c r="J123" s="185">
        <f t="shared" si="36"/>
        <v>1793770.5</v>
      </c>
      <c r="K123" s="192">
        <f t="shared" si="30"/>
        <v>1759494.5</v>
      </c>
      <c r="L123" s="191">
        <f t="shared" si="38"/>
        <v>34276</v>
      </c>
      <c r="M123" s="188">
        <f t="shared" si="26"/>
        <v>2809.2428781148342</v>
      </c>
      <c r="N123" s="189">
        <f t="shared" si="27"/>
        <v>37085.242878114834</v>
      </c>
      <c r="O123" s="188">
        <v>0</v>
      </c>
      <c r="P123" s="188">
        <v>0</v>
      </c>
      <c r="Q123" s="188">
        <v>0</v>
      </c>
      <c r="R123" s="189">
        <f t="shared" si="28"/>
        <v>37085.242878114834</v>
      </c>
    </row>
    <row r="124" spans="1:18" x14ac:dyDescent="0.25">
      <c r="A124" s="146">
        <v>9</v>
      </c>
      <c r="B124" s="181">
        <f t="shared" si="35"/>
        <v>45170</v>
      </c>
      <c r="C124" s="201">
        <f t="shared" si="37"/>
        <v>45203</v>
      </c>
      <c r="D124" s="201">
        <f t="shared" si="37"/>
        <v>45223</v>
      </c>
      <c r="E124" s="52" t="s">
        <v>13</v>
      </c>
      <c r="F124" s="146">
        <v>9</v>
      </c>
      <c r="G124" s="183">
        <v>934</v>
      </c>
      <c r="H124" s="184">
        <f t="shared" si="25"/>
        <v>1716.58</v>
      </c>
      <c r="I124" s="184">
        <f t="shared" si="34"/>
        <v>1750.02</v>
      </c>
      <c r="J124" s="185">
        <f t="shared" si="36"/>
        <v>1634518.68</v>
      </c>
      <c r="K124" s="192">
        <f t="shared" si="30"/>
        <v>1603285.72</v>
      </c>
      <c r="L124" s="191">
        <f t="shared" si="38"/>
        <v>31232.959999999963</v>
      </c>
      <c r="M124" s="188">
        <f t="shared" si="26"/>
        <v>2559.8369250334199</v>
      </c>
      <c r="N124" s="189">
        <f t="shared" si="27"/>
        <v>33792.796925033384</v>
      </c>
      <c r="O124" s="188">
        <v>0</v>
      </c>
      <c r="P124" s="188">
        <v>0</v>
      </c>
      <c r="Q124" s="188">
        <v>0</v>
      </c>
      <c r="R124" s="189">
        <f t="shared" si="28"/>
        <v>33792.796925033384</v>
      </c>
    </row>
    <row r="125" spans="1:18" x14ac:dyDescent="0.25">
      <c r="A125" s="110">
        <v>10</v>
      </c>
      <c r="B125" s="181">
        <f t="shared" si="35"/>
        <v>45200</v>
      </c>
      <c r="C125" s="201">
        <f t="shared" si="37"/>
        <v>45233</v>
      </c>
      <c r="D125" s="201">
        <f t="shared" si="37"/>
        <v>45254</v>
      </c>
      <c r="E125" s="52" t="s">
        <v>13</v>
      </c>
      <c r="F125" s="146">
        <v>9</v>
      </c>
      <c r="G125" s="183">
        <v>700</v>
      </c>
      <c r="H125" s="184">
        <f t="shared" si="25"/>
        <v>1716.58</v>
      </c>
      <c r="I125" s="184">
        <f t="shared" si="34"/>
        <v>1750.02</v>
      </c>
      <c r="J125" s="185">
        <f t="shared" si="36"/>
        <v>1225014</v>
      </c>
      <c r="K125" s="192">
        <f t="shared" si="30"/>
        <v>1201606</v>
      </c>
      <c r="L125" s="191">
        <f t="shared" si="38"/>
        <v>23408</v>
      </c>
      <c r="M125" s="188">
        <f t="shared" si="26"/>
        <v>1918.5073313954965</v>
      </c>
      <c r="N125" s="189">
        <f t="shared" si="27"/>
        <v>25326.507331395496</v>
      </c>
      <c r="O125" s="188">
        <v>0</v>
      </c>
      <c r="P125" s="188">
        <v>0</v>
      </c>
      <c r="Q125" s="188">
        <v>0</v>
      </c>
      <c r="R125" s="189">
        <f t="shared" si="28"/>
        <v>25326.507331395496</v>
      </c>
    </row>
    <row r="126" spans="1:18" x14ac:dyDescent="0.25">
      <c r="A126" s="146">
        <v>11</v>
      </c>
      <c r="B126" s="181">
        <f t="shared" si="35"/>
        <v>45231</v>
      </c>
      <c r="C126" s="201">
        <f t="shared" si="37"/>
        <v>45266</v>
      </c>
      <c r="D126" s="201">
        <f t="shared" si="37"/>
        <v>45285</v>
      </c>
      <c r="E126" s="52" t="s">
        <v>13</v>
      </c>
      <c r="F126" s="146">
        <v>9</v>
      </c>
      <c r="G126" s="183">
        <v>867</v>
      </c>
      <c r="H126" s="184">
        <f t="shared" si="25"/>
        <v>1716.58</v>
      </c>
      <c r="I126" s="184">
        <f t="shared" si="34"/>
        <v>1750.02</v>
      </c>
      <c r="J126" s="185">
        <f t="shared" si="36"/>
        <v>1517267.34</v>
      </c>
      <c r="K126" s="192">
        <f t="shared" si="30"/>
        <v>1488274.8599999999</v>
      </c>
      <c r="L126" s="191">
        <f t="shared" si="38"/>
        <v>28992.480000000214</v>
      </c>
      <c r="M126" s="188">
        <f t="shared" si="26"/>
        <v>2376.2083661712795</v>
      </c>
      <c r="N126" s="189">
        <f t="shared" si="27"/>
        <v>31368.688366171493</v>
      </c>
      <c r="O126" s="188">
        <v>0</v>
      </c>
      <c r="P126" s="188">
        <v>0</v>
      </c>
      <c r="Q126" s="188">
        <v>0</v>
      </c>
      <c r="R126" s="189">
        <f t="shared" si="28"/>
        <v>31368.688366171493</v>
      </c>
    </row>
    <row r="127" spans="1:18" s="205" customFormat="1" x14ac:dyDescent="0.25">
      <c r="A127" s="146">
        <v>12</v>
      </c>
      <c r="B127" s="203">
        <f t="shared" si="35"/>
        <v>45261</v>
      </c>
      <c r="C127" s="206">
        <f t="shared" si="37"/>
        <v>45294</v>
      </c>
      <c r="D127" s="206">
        <f t="shared" si="37"/>
        <v>45315</v>
      </c>
      <c r="E127" s="204" t="s">
        <v>13</v>
      </c>
      <c r="F127" s="157">
        <v>9</v>
      </c>
      <c r="G127" s="183">
        <v>916</v>
      </c>
      <c r="H127" s="193">
        <f t="shared" si="25"/>
        <v>1716.58</v>
      </c>
      <c r="I127" s="193">
        <f t="shared" si="34"/>
        <v>1750.02</v>
      </c>
      <c r="J127" s="194">
        <f t="shared" si="36"/>
        <v>1603018.32</v>
      </c>
      <c r="K127" s="195">
        <f t="shared" si="30"/>
        <v>1572387.28</v>
      </c>
      <c r="L127" s="196">
        <f t="shared" si="38"/>
        <v>30631.040000000037</v>
      </c>
      <c r="M127" s="188">
        <f t="shared" si="26"/>
        <v>2510.5038793689641</v>
      </c>
      <c r="N127" s="189">
        <f t="shared" si="27"/>
        <v>33141.543879369005</v>
      </c>
      <c r="O127" s="188">
        <v>0</v>
      </c>
      <c r="P127" s="188">
        <v>0</v>
      </c>
      <c r="Q127" s="188">
        <v>0</v>
      </c>
      <c r="R127" s="189">
        <f t="shared" si="28"/>
        <v>33141.543879369005</v>
      </c>
    </row>
    <row r="128" spans="1:18" x14ac:dyDescent="0.25">
      <c r="A128" s="110">
        <v>1</v>
      </c>
      <c r="B128" s="181">
        <f t="shared" si="35"/>
        <v>44927</v>
      </c>
      <c r="C128" s="201">
        <f t="shared" si="37"/>
        <v>44960</v>
      </c>
      <c r="D128" s="201">
        <f t="shared" si="37"/>
        <v>44981</v>
      </c>
      <c r="E128" s="182" t="s">
        <v>15</v>
      </c>
      <c r="F128" s="110">
        <v>9</v>
      </c>
      <c r="G128" s="183">
        <v>6</v>
      </c>
      <c r="H128" s="184">
        <f t="shared" si="25"/>
        <v>1716.58</v>
      </c>
      <c r="I128" s="184">
        <f t="shared" ref="I128:I147" si="39">$J$3</f>
        <v>1750.02</v>
      </c>
      <c r="J128" s="185">
        <f t="shared" si="36"/>
        <v>10500.119999999999</v>
      </c>
      <c r="K128" s="186">
        <f t="shared" si="30"/>
        <v>10299.48</v>
      </c>
      <c r="L128" s="187">
        <f>+J128-K128</f>
        <v>200.63999999999942</v>
      </c>
      <c r="M128" s="188">
        <f t="shared" si="26"/>
        <v>16.444348554818543</v>
      </c>
      <c r="N128" s="189">
        <f t="shared" si="27"/>
        <v>217.08434855481795</v>
      </c>
      <c r="O128" s="188">
        <v>0</v>
      </c>
      <c r="P128" s="188">
        <v>0</v>
      </c>
      <c r="Q128" s="188">
        <v>0</v>
      </c>
      <c r="R128" s="189">
        <f t="shared" si="28"/>
        <v>217.08434855481795</v>
      </c>
    </row>
    <row r="129" spans="1:18" x14ac:dyDescent="0.25">
      <c r="A129" s="146">
        <v>2</v>
      </c>
      <c r="B129" s="181">
        <f t="shared" si="35"/>
        <v>44958</v>
      </c>
      <c r="C129" s="201">
        <f t="shared" si="37"/>
        <v>44988</v>
      </c>
      <c r="D129" s="201">
        <f t="shared" si="37"/>
        <v>45009</v>
      </c>
      <c r="E129" s="190" t="s">
        <v>15</v>
      </c>
      <c r="F129" s="146">
        <v>9</v>
      </c>
      <c r="G129" s="183">
        <v>5</v>
      </c>
      <c r="H129" s="184">
        <f t="shared" si="25"/>
        <v>1716.58</v>
      </c>
      <c r="I129" s="184">
        <f t="shared" si="39"/>
        <v>1750.02</v>
      </c>
      <c r="J129" s="185">
        <f t="shared" si="36"/>
        <v>8750.1</v>
      </c>
      <c r="K129" s="186">
        <f t="shared" si="30"/>
        <v>8582.9</v>
      </c>
      <c r="L129" s="187">
        <f>+J129-K129</f>
        <v>167.20000000000073</v>
      </c>
      <c r="M129" s="188">
        <f t="shared" si="26"/>
        <v>13.70362379568212</v>
      </c>
      <c r="N129" s="189">
        <f t="shared" si="27"/>
        <v>180.90362379568285</v>
      </c>
      <c r="O129" s="188">
        <v>0</v>
      </c>
      <c r="P129" s="188">
        <v>0</v>
      </c>
      <c r="Q129" s="188">
        <v>0</v>
      </c>
      <c r="R129" s="189">
        <f t="shared" si="28"/>
        <v>180.90362379568285</v>
      </c>
    </row>
    <row r="130" spans="1:18" x14ac:dyDescent="0.25">
      <c r="A130" s="146">
        <v>3</v>
      </c>
      <c r="B130" s="181">
        <f t="shared" si="35"/>
        <v>44986</v>
      </c>
      <c r="C130" s="201">
        <f t="shared" si="37"/>
        <v>45021</v>
      </c>
      <c r="D130" s="201">
        <f t="shared" si="37"/>
        <v>45040</v>
      </c>
      <c r="E130" s="190" t="s">
        <v>15</v>
      </c>
      <c r="F130" s="146">
        <v>9</v>
      </c>
      <c r="G130" s="183">
        <v>5</v>
      </c>
      <c r="H130" s="184">
        <f t="shared" si="25"/>
        <v>1716.58</v>
      </c>
      <c r="I130" s="184">
        <f t="shared" si="39"/>
        <v>1750.02</v>
      </c>
      <c r="J130" s="185">
        <f t="shared" si="36"/>
        <v>8750.1</v>
      </c>
      <c r="K130" s="186">
        <f t="shared" si="30"/>
        <v>8582.9</v>
      </c>
      <c r="L130" s="187">
        <f>+J130-K130</f>
        <v>167.20000000000073</v>
      </c>
      <c r="M130" s="188">
        <f t="shared" si="26"/>
        <v>13.70362379568212</v>
      </c>
      <c r="N130" s="189">
        <f t="shared" si="27"/>
        <v>180.90362379568285</v>
      </c>
      <c r="O130" s="188">
        <v>0</v>
      </c>
      <c r="P130" s="188">
        <v>0</v>
      </c>
      <c r="Q130" s="188">
        <v>0</v>
      </c>
      <c r="R130" s="189">
        <f t="shared" si="28"/>
        <v>180.90362379568285</v>
      </c>
    </row>
    <row r="131" spans="1:18" x14ac:dyDescent="0.25">
      <c r="A131" s="110">
        <v>4</v>
      </c>
      <c r="B131" s="181">
        <f t="shared" si="35"/>
        <v>45017</v>
      </c>
      <c r="C131" s="201">
        <f t="shared" si="37"/>
        <v>45049</v>
      </c>
      <c r="D131" s="201">
        <f t="shared" si="37"/>
        <v>45070</v>
      </c>
      <c r="E131" s="190" t="s">
        <v>15</v>
      </c>
      <c r="F131" s="146">
        <v>9</v>
      </c>
      <c r="G131" s="183">
        <v>7</v>
      </c>
      <c r="H131" s="184">
        <f t="shared" si="25"/>
        <v>1716.58</v>
      </c>
      <c r="I131" s="184">
        <f t="shared" si="39"/>
        <v>1750.02</v>
      </c>
      <c r="J131" s="185">
        <f t="shared" si="36"/>
        <v>12250.14</v>
      </c>
      <c r="K131" s="186">
        <f t="shared" si="30"/>
        <v>12016.06</v>
      </c>
      <c r="L131" s="187">
        <f t="shared" ref="L131:L141" si="40">+J131-K131</f>
        <v>234.07999999999993</v>
      </c>
      <c r="M131" s="188">
        <f t="shared" si="26"/>
        <v>19.185073313954966</v>
      </c>
      <c r="N131" s="189">
        <f t="shared" si="27"/>
        <v>253.2650733139549</v>
      </c>
      <c r="O131" s="188">
        <v>0</v>
      </c>
      <c r="P131" s="188">
        <v>0</v>
      </c>
      <c r="Q131" s="188">
        <v>0</v>
      </c>
      <c r="R131" s="189">
        <f t="shared" si="28"/>
        <v>253.2650733139549</v>
      </c>
    </row>
    <row r="132" spans="1:18" x14ac:dyDescent="0.25">
      <c r="A132" s="146">
        <v>5</v>
      </c>
      <c r="B132" s="181">
        <f t="shared" si="35"/>
        <v>45047</v>
      </c>
      <c r="C132" s="201">
        <f t="shared" si="37"/>
        <v>45082</v>
      </c>
      <c r="D132" s="201">
        <f t="shared" si="37"/>
        <v>45103</v>
      </c>
      <c r="E132" s="52" t="s">
        <v>15</v>
      </c>
      <c r="F132" s="146">
        <v>9</v>
      </c>
      <c r="G132" s="183">
        <v>4</v>
      </c>
      <c r="H132" s="184">
        <f t="shared" si="25"/>
        <v>1716.58</v>
      </c>
      <c r="I132" s="184">
        <f t="shared" si="39"/>
        <v>1750.02</v>
      </c>
      <c r="J132" s="185">
        <f t="shared" si="36"/>
        <v>7000.08</v>
      </c>
      <c r="K132" s="186">
        <f t="shared" si="30"/>
        <v>6866.32</v>
      </c>
      <c r="L132" s="187">
        <f t="shared" si="40"/>
        <v>133.76000000000022</v>
      </c>
      <c r="M132" s="188">
        <f t="shared" si="26"/>
        <v>10.962899036545695</v>
      </c>
      <c r="N132" s="189">
        <f t="shared" si="27"/>
        <v>144.72289903654593</v>
      </c>
      <c r="O132" s="188">
        <v>0</v>
      </c>
      <c r="P132" s="188">
        <v>0</v>
      </c>
      <c r="Q132" s="188">
        <v>0</v>
      </c>
      <c r="R132" s="189">
        <f t="shared" si="28"/>
        <v>144.72289903654593</v>
      </c>
    </row>
    <row r="133" spans="1:18" x14ac:dyDescent="0.25">
      <c r="A133" s="146">
        <v>6</v>
      </c>
      <c r="B133" s="181">
        <f t="shared" si="35"/>
        <v>45078</v>
      </c>
      <c r="C133" s="201">
        <f t="shared" si="37"/>
        <v>45112</v>
      </c>
      <c r="D133" s="201">
        <f t="shared" si="37"/>
        <v>45131</v>
      </c>
      <c r="E133" s="52" t="s">
        <v>15</v>
      </c>
      <c r="F133" s="146">
        <v>9</v>
      </c>
      <c r="G133" s="183">
        <v>14</v>
      </c>
      <c r="H133" s="184">
        <f t="shared" si="25"/>
        <v>1716.58</v>
      </c>
      <c r="I133" s="184">
        <f t="shared" si="39"/>
        <v>1750.02</v>
      </c>
      <c r="J133" s="185">
        <f t="shared" si="36"/>
        <v>24500.28</v>
      </c>
      <c r="K133" s="186">
        <f t="shared" si="30"/>
        <v>24032.12</v>
      </c>
      <c r="L133" s="191">
        <f t="shared" si="40"/>
        <v>468.15999999999985</v>
      </c>
      <c r="M133" s="188">
        <f t="shared" si="26"/>
        <v>38.370146627909932</v>
      </c>
      <c r="N133" s="189">
        <f t="shared" si="27"/>
        <v>506.5301466279098</v>
      </c>
      <c r="O133" s="188">
        <v>0</v>
      </c>
      <c r="P133" s="188">
        <v>0</v>
      </c>
      <c r="Q133" s="188">
        <v>0</v>
      </c>
      <c r="R133" s="189">
        <f t="shared" si="28"/>
        <v>506.5301466279098</v>
      </c>
    </row>
    <row r="134" spans="1:18" x14ac:dyDescent="0.25">
      <c r="A134" s="110">
        <v>7</v>
      </c>
      <c r="B134" s="181">
        <f t="shared" si="35"/>
        <v>45108</v>
      </c>
      <c r="C134" s="201">
        <f t="shared" si="37"/>
        <v>45141</v>
      </c>
      <c r="D134" s="201">
        <f t="shared" si="37"/>
        <v>45162</v>
      </c>
      <c r="E134" s="52" t="s">
        <v>15</v>
      </c>
      <c r="F134" s="146">
        <v>9</v>
      </c>
      <c r="G134" s="183">
        <v>13</v>
      </c>
      <c r="H134" s="184">
        <f t="shared" si="25"/>
        <v>1716.58</v>
      </c>
      <c r="I134" s="184">
        <f t="shared" si="39"/>
        <v>1750.02</v>
      </c>
      <c r="J134" s="185">
        <f t="shared" si="36"/>
        <v>22750.26</v>
      </c>
      <c r="K134" s="192">
        <f t="shared" ref="K134:K197" si="41">+$G134*H134</f>
        <v>22315.54</v>
      </c>
      <c r="L134" s="191">
        <f t="shared" si="40"/>
        <v>434.71999999999753</v>
      </c>
      <c r="M134" s="188">
        <f t="shared" si="26"/>
        <v>35.629421868773505</v>
      </c>
      <c r="N134" s="189">
        <f t="shared" si="27"/>
        <v>470.34942186877106</v>
      </c>
      <c r="O134" s="188">
        <v>0</v>
      </c>
      <c r="P134" s="188">
        <v>0</v>
      </c>
      <c r="Q134" s="188">
        <v>0</v>
      </c>
      <c r="R134" s="189">
        <f t="shared" si="28"/>
        <v>470.34942186877106</v>
      </c>
    </row>
    <row r="135" spans="1:18" x14ac:dyDescent="0.25">
      <c r="A135" s="146">
        <v>8</v>
      </c>
      <c r="B135" s="181">
        <f t="shared" si="35"/>
        <v>45139</v>
      </c>
      <c r="C135" s="201">
        <f t="shared" si="37"/>
        <v>45174</v>
      </c>
      <c r="D135" s="201">
        <f t="shared" si="37"/>
        <v>45194</v>
      </c>
      <c r="E135" s="52" t="s">
        <v>15</v>
      </c>
      <c r="F135" s="146">
        <v>9</v>
      </c>
      <c r="G135" s="183">
        <v>19</v>
      </c>
      <c r="H135" s="184">
        <f t="shared" si="25"/>
        <v>1716.58</v>
      </c>
      <c r="I135" s="184">
        <f t="shared" si="39"/>
        <v>1750.02</v>
      </c>
      <c r="J135" s="185">
        <f t="shared" si="36"/>
        <v>33250.379999999997</v>
      </c>
      <c r="K135" s="192">
        <f t="shared" si="41"/>
        <v>32615.019999999997</v>
      </c>
      <c r="L135" s="191">
        <f t="shared" si="40"/>
        <v>635.36000000000058</v>
      </c>
      <c r="M135" s="188">
        <f t="shared" si="26"/>
        <v>52.073770423592052</v>
      </c>
      <c r="N135" s="189">
        <f t="shared" si="27"/>
        <v>687.43377042359259</v>
      </c>
      <c r="O135" s="188">
        <v>0</v>
      </c>
      <c r="P135" s="188">
        <v>0</v>
      </c>
      <c r="Q135" s="188">
        <v>0</v>
      </c>
      <c r="R135" s="189">
        <f t="shared" si="28"/>
        <v>687.43377042359259</v>
      </c>
    </row>
    <row r="136" spans="1:18" x14ac:dyDescent="0.25">
      <c r="A136" s="146">
        <v>9</v>
      </c>
      <c r="B136" s="181">
        <f t="shared" si="35"/>
        <v>45170</v>
      </c>
      <c r="C136" s="201">
        <f t="shared" si="37"/>
        <v>45203</v>
      </c>
      <c r="D136" s="201">
        <f t="shared" si="37"/>
        <v>45223</v>
      </c>
      <c r="E136" s="52" t="s">
        <v>15</v>
      </c>
      <c r="F136" s="146">
        <v>9</v>
      </c>
      <c r="G136" s="183">
        <v>18</v>
      </c>
      <c r="H136" s="184">
        <f t="shared" si="25"/>
        <v>1716.58</v>
      </c>
      <c r="I136" s="184">
        <f t="shared" si="39"/>
        <v>1750.02</v>
      </c>
      <c r="J136" s="185">
        <f t="shared" si="36"/>
        <v>31500.36</v>
      </c>
      <c r="K136" s="192">
        <f t="shared" si="41"/>
        <v>30898.44</v>
      </c>
      <c r="L136" s="191">
        <f t="shared" si="40"/>
        <v>601.92000000000189</v>
      </c>
      <c r="M136" s="188">
        <f t="shared" si="26"/>
        <v>49.333045664455625</v>
      </c>
      <c r="N136" s="189">
        <f t="shared" si="27"/>
        <v>651.25304566445755</v>
      </c>
      <c r="O136" s="188">
        <v>0</v>
      </c>
      <c r="P136" s="188">
        <v>0</v>
      </c>
      <c r="Q136" s="188">
        <v>0</v>
      </c>
      <c r="R136" s="189">
        <f t="shared" si="28"/>
        <v>651.25304566445755</v>
      </c>
    </row>
    <row r="137" spans="1:18" x14ac:dyDescent="0.25">
      <c r="A137" s="110">
        <v>10</v>
      </c>
      <c r="B137" s="181">
        <f t="shared" si="35"/>
        <v>45200</v>
      </c>
      <c r="C137" s="201">
        <f t="shared" si="37"/>
        <v>45233</v>
      </c>
      <c r="D137" s="201">
        <f t="shared" si="37"/>
        <v>45254</v>
      </c>
      <c r="E137" s="52" t="s">
        <v>15</v>
      </c>
      <c r="F137" s="146">
        <v>9</v>
      </c>
      <c r="G137" s="183">
        <v>6</v>
      </c>
      <c r="H137" s="184">
        <f t="shared" si="25"/>
        <v>1716.58</v>
      </c>
      <c r="I137" s="184">
        <f t="shared" si="39"/>
        <v>1750.02</v>
      </c>
      <c r="J137" s="185">
        <f t="shared" si="36"/>
        <v>10500.119999999999</v>
      </c>
      <c r="K137" s="192">
        <f t="shared" si="41"/>
        <v>10299.48</v>
      </c>
      <c r="L137" s="191">
        <f t="shared" si="40"/>
        <v>200.63999999999942</v>
      </c>
      <c r="M137" s="188">
        <f t="shared" si="26"/>
        <v>16.444348554818543</v>
      </c>
      <c r="N137" s="189">
        <f t="shared" si="27"/>
        <v>217.08434855481795</v>
      </c>
      <c r="O137" s="188">
        <v>0</v>
      </c>
      <c r="P137" s="188">
        <v>0</v>
      </c>
      <c r="Q137" s="188">
        <v>0</v>
      </c>
      <c r="R137" s="189">
        <f t="shared" si="28"/>
        <v>217.08434855481795</v>
      </c>
    </row>
    <row r="138" spans="1:18" x14ac:dyDescent="0.25">
      <c r="A138" s="146">
        <v>11</v>
      </c>
      <c r="B138" s="181">
        <f t="shared" si="35"/>
        <v>45231</v>
      </c>
      <c r="C138" s="201">
        <f t="shared" si="37"/>
        <v>45266</v>
      </c>
      <c r="D138" s="201">
        <f t="shared" si="37"/>
        <v>45285</v>
      </c>
      <c r="E138" s="52" t="s">
        <v>15</v>
      </c>
      <c r="F138" s="146">
        <v>9</v>
      </c>
      <c r="G138" s="183">
        <v>6</v>
      </c>
      <c r="H138" s="184">
        <f t="shared" si="25"/>
        <v>1716.58</v>
      </c>
      <c r="I138" s="184">
        <f t="shared" si="39"/>
        <v>1750.02</v>
      </c>
      <c r="J138" s="185">
        <f t="shared" si="36"/>
        <v>10500.119999999999</v>
      </c>
      <c r="K138" s="192">
        <f t="shared" si="41"/>
        <v>10299.48</v>
      </c>
      <c r="L138" s="191">
        <f t="shared" si="40"/>
        <v>200.63999999999942</v>
      </c>
      <c r="M138" s="188">
        <f t="shared" si="26"/>
        <v>16.444348554818543</v>
      </c>
      <c r="N138" s="189">
        <f t="shared" si="27"/>
        <v>217.08434855481795</v>
      </c>
      <c r="O138" s="188">
        <v>0</v>
      </c>
      <c r="P138" s="188">
        <v>0</v>
      </c>
      <c r="Q138" s="188">
        <v>0</v>
      </c>
      <c r="R138" s="189">
        <f t="shared" si="28"/>
        <v>217.08434855481795</v>
      </c>
    </row>
    <row r="139" spans="1:18" s="205" customFormat="1" x14ac:dyDescent="0.25">
      <c r="A139" s="146">
        <v>12</v>
      </c>
      <c r="B139" s="203">
        <f t="shared" si="35"/>
        <v>45261</v>
      </c>
      <c r="C139" s="201">
        <f t="shared" si="37"/>
        <v>45294</v>
      </c>
      <c r="D139" s="201">
        <f t="shared" si="37"/>
        <v>45315</v>
      </c>
      <c r="E139" s="204" t="s">
        <v>15</v>
      </c>
      <c r="F139" s="157">
        <v>9</v>
      </c>
      <c r="G139" s="183">
        <v>5</v>
      </c>
      <c r="H139" s="193">
        <f t="shared" si="25"/>
        <v>1716.58</v>
      </c>
      <c r="I139" s="193">
        <f t="shared" si="39"/>
        <v>1750.02</v>
      </c>
      <c r="J139" s="194">
        <f t="shared" si="36"/>
        <v>8750.1</v>
      </c>
      <c r="K139" s="195">
        <f t="shared" si="41"/>
        <v>8582.9</v>
      </c>
      <c r="L139" s="196">
        <f t="shared" si="40"/>
        <v>167.20000000000073</v>
      </c>
      <c r="M139" s="188">
        <f t="shared" si="26"/>
        <v>13.70362379568212</v>
      </c>
      <c r="N139" s="189">
        <f t="shared" si="27"/>
        <v>180.90362379568285</v>
      </c>
      <c r="O139" s="188">
        <v>0</v>
      </c>
      <c r="P139" s="188">
        <v>0</v>
      </c>
      <c r="Q139" s="188">
        <v>0</v>
      </c>
      <c r="R139" s="189">
        <f t="shared" si="28"/>
        <v>180.90362379568285</v>
      </c>
    </row>
    <row r="140" spans="1:18" x14ac:dyDescent="0.25">
      <c r="A140" s="110">
        <v>1</v>
      </c>
      <c r="B140" s="181">
        <f t="shared" si="35"/>
        <v>44927</v>
      </c>
      <c r="C140" s="198">
        <f t="shared" ref="C140:D151" si="42">+C128</f>
        <v>44960</v>
      </c>
      <c r="D140" s="198">
        <f t="shared" si="42"/>
        <v>44981</v>
      </c>
      <c r="E140" s="208" t="s">
        <v>16</v>
      </c>
      <c r="F140" s="146">
        <v>9</v>
      </c>
      <c r="G140" s="183">
        <v>4</v>
      </c>
      <c r="H140" s="184">
        <f t="shared" si="25"/>
        <v>1716.58</v>
      </c>
      <c r="I140" s="184">
        <f t="shared" si="39"/>
        <v>1750.02</v>
      </c>
      <c r="J140" s="185">
        <f t="shared" si="36"/>
        <v>7000.08</v>
      </c>
      <c r="K140" s="186">
        <f t="shared" si="41"/>
        <v>6866.32</v>
      </c>
      <c r="L140" s="187">
        <f t="shared" si="40"/>
        <v>133.76000000000022</v>
      </c>
      <c r="M140" s="188">
        <f t="shared" si="26"/>
        <v>10.962899036545695</v>
      </c>
      <c r="N140" s="189">
        <f t="shared" si="27"/>
        <v>144.72289903654593</v>
      </c>
      <c r="O140" s="188">
        <v>0</v>
      </c>
      <c r="P140" s="188">
        <v>0</v>
      </c>
      <c r="Q140" s="188">
        <v>0</v>
      </c>
      <c r="R140" s="189">
        <f t="shared" si="28"/>
        <v>144.72289903654593</v>
      </c>
    </row>
    <row r="141" spans="1:18" x14ac:dyDescent="0.25">
      <c r="A141" s="146">
        <v>2</v>
      </c>
      <c r="B141" s="181">
        <f t="shared" si="35"/>
        <v>44958</v>
      </c>
      <c r="C141" s="201">
        <f t="shared" si="42"/>
        <v>44988</v>
      </c>
      <c r="D141" s="201">
        <f t="shared" si="42"/>
        <v>45009</v>
      </c>
      <c r="E141" s="52" t="s">
        <v>16</v>
      </c>
      <c r="F141" s="146">
        <v>9</v>
      </c>
      <c r="G141" s="183">
        <v>5</v>
      </c>
      <c r="H141" s="184">
        <f t="shared" si="25"/>
        <v>1716.58</v>
      </c>
      <c r="I141" s="184">
        <f t="shared" si="39"/>
        <v>1750.02</v>
      </c>
      <c r="J141" s="185">
        <f t="shared" si="36"/>
        <v>8750.1</v>
      </c>
      <c r="K141" s="186">
        <f t="shared" si="41"/>
        <v>8582.9</v>
      </c>
      <c r="L141" s="187">
        <f t="shared" si="40"/>
        <v>167.20000000000073</v>
      </c>
      <c r="M141" s="188">
        <f t="shared" si="26"/>
        <v>13.70362379568212</v>
      </c>
      <c r="N141" s="189">
        <f t="shared" si="27"/>
        <v>180.90362379568285</v>
      </c>
      <c r="O141" s="188">
        <v>0</v>
      </c>
      <c r="P141" s="188">
        <v>0</v>
      </c>
      <c r="Q141" s="188">
        <v>0</v>
      </c>
      <c r="R141" s="189">
        <f t="shared" si="28"/>
        <v>180.90362379568285</v>
      </c>
    </row>
    <row r="142" spans="1:18" x14ac:dyDescent="0.25">
      <c r="A142" s="146">
        <v>3</v>
      </c>
      <c r="B142" s="181">
        <f t="shared" si="35"/>
        <v>44986</v>
      </c>
      <c r="C142" s="201">
        <f t="shared" si="42"/>
        <v>45021</v>
      </c>
      <c r="D142" s="201">
        <f t="shared" si="42"/>
        <v>45040</v>
      </c>
      <c r="E142" s="52" t="s">
        <v>16</v>
      </c>
      <c r="F142" s="146">
        <v>9</v>
      </c>
      <c r="G142" s="183">
        <v>1</v>
      </c>
      <c r="H142" s="184">
        <f t="shared" si="25"/>
        <v>1716.58</v>
      </c>
      <c r="I142" s="184">
        <f t="shared" si="39"/>
        <v>1750.02</v>
      </c>
      <c r="J142" s="185">
        <f t="shared" si="36"/>
        <v>1750.02</v>
      </c>
      <c r="K142" s="186">
        <f t="shared" si="41"/>
        <v>1716.58</v>
      </c>
      <c r="L142" s="187">
        <f>+J142-K142</f>
        <v>33.440000000000055</v>
      </c>
      <c r="M142" s="188">
        <f t="shared" si="26"/>
        <v>2.7407247591364237</v>
      </c>
      <c r="N142" s="189">
        <f t="shared" si="27"/>
        <v>36.180724759136481</v>
      </c>
      <c r="O142" s="188">
        <v>0</v>
      </c>
      <c r="P142" s="188">
        <v>0</v>
      </c>
      <c r="Q142" s="188">
        <v>0</v>
      </c>
      <c r="R142" s="189">
        <f t="shared" si="28"/>
        <v>36.180724759136481</v>
      </c>
    </row>
    <row r="143" spans="1:18" x14ac:dyDescent="0.25">
      <c r="A143" s="110">
        <v>4</v>
      </c>
      <c r="B143" s="181">
        <f t="shared" si="35"/>
        <v>45017</v>
      </c>
      <c r="C143" s="201">
        <f t="shared" si="42"/>
        <v>45049</v>
      </c>
      <c r="D143" s="201">
        <f t="shared" si="42"/>
        <v>45070</v>
      </c>
      <c r="E143" s="52" t="s">
        <v>16</v>
      </c>
      <c r="F143" s="146">
        <v>9</v>
      </c>
      <c r="G143" s="183">
        <v>7</v>
      </c>
      <c r="H143" s="184">
        <f t="shared" si="25"/>
        <v>1716.58</v>
      </c>
      <c r="I143" s="184">
        <f t="shared" si="39"/>
        <v>1750.02</v>
      </c>
      <c r="J143" s="185">
        <f t="shared" si="36"/>
        <v>12250.14</v>
      </c>
      <c r="K143" s="186">
        <f t="shared" si="41"/>
        <v>12016.06</v>
      </c>
      <c r="L143" s="187">
        <f t="shared" ref="L143:L153" si="43">+J143-K143</f>
        <v>234.07999999999993</v>
      </c>
      <c r="M143" s="188">
        <f t="shared" si="26"/>
        <v>19.185073313954966</v>
      </c>
      <c r="N143" s="189">
        <f t="shared" si="27"/>
        <v>253.2650733139549</v>
      </c>
      <c r="O143" s="188">
        <v>0</v>
      </c>
      <c r="P143" s="188">
        <v>0</v>
      </c>
      <c r="Q143" s="188">
        <v>0</v>
      </c>
      <c r="R143" s="189">
        <f t="shared" si="28"/>
        <v>253.2650733139549</v>
      </c>
    </row>
    <row r="144" spans="1:18" x14ac:dyDescent="0.25">
      <c r="A144" s="146">
        <v>5</v>
      </c>
      <c r="B144" s="181">
        <f t="shared" si="35"/>
        <v>45047</v>
      </c>
      <c r="C144" s="201">
        <f t="shared" si="42"/>
        <v>45082</v>
      </c>
      <c r="D144" s="201">
        <f t="shared" si="42"/>
        <v>45103</v>
      </c>
      <c r="E144" s="52" t="s">
        <v>16</v>
      </c>
      <c r="F144" s="146">
        <v>9</v>
      </c>
      <c r="G144" s="183">
        <v>3</v>
      </c>
      <c r="H144" s="184">
        <f t="shared" si="25"/>
        <v>1716.58</v>
      </c>
      <c r="I144" s="184">
        <f t="shared" si="39"/>
        <v>1750.02</v>
      </c>
      <c r="J144" s="185">
        <f t="shared" si="36"/>
        <v>5250.0599999999995</v>
      </c>
      <c r="K144" s="186">
        <f t="shared" si="41"/>
        <v>5149.74</v>
      </c>
      <c r="L144" s="187">
        <f t="shared" si="43"/>
        <v>100.31999999999971</v>
      </c>
      <c r="M144" s="188">
        <f t="shared" si="26"/>
        <v>8.2221742774092714</v>
      </c>
      <c r="N144" s="189">
        <f t="shared" si="27"/>
        <v>108.54217427740898</v>
      </c>
      <c r="O144" s="188">
        <v>0</v>
      </c>
      <c r="P144" s="188">
        <v>0</v>
      </c>
      <c r="Q144" s="188">
        <v>0</v>
      </c>
      <c r="R144" s="189">
        <f t="shared" si="28"/>
        <v>108.54217427740898</v>
      </c>
    </row>
    <row r="145" spans="1:19" x14ac:dyDescent="0.25">
      <c r="A145" s="146">
        <v>6</v>
      </c>
      <c r="B145" s="181">
        <f t="shared" si="35"/>
        <v>45078</v>
      </c>
      <c r="C145" s="201">
        <f t="shared" si="42"/>
        <v>45112</v>
      </c>
      <c r="D145" s="201">
        <f t="shared" si="42"/>
        <v>45131</v>
      </c>
      <c r="E145" s="52" t="s">
        <v>16</v>
      </c>
      <c r="F145" s="146">
        <v>9</v>
      </c>
      <c r="G145" s="183">
        <v>7</v>
      </c>
      <c r="H145" s="184">
        <f t="shared" si="25"/>
        <v>1716.58</v>
      </c>
      <c r="I145" s="184">
        <f t="shared" si="39"/>
        <v>1750.02</v>
      </c>
      <c r="J145" s="185">
        <f t="shared" si="36"/>
        <v>12250.14</v>
      </c>
      <c r="K145" s="186">
        <f t="shared" si="41"/>
        <v>12016.06</v>
      </c>
      <c r="L145" s="191">
        <f t="shared" si="43"/>
        <v>234.07999999999993</v>
      </c>
      <c r="M145" s="188">
        <f t="shared" si="26"/>
        <v>19.185073313954966</v>
      </c>
      <c r="N145" s="189">
        <f t="shared" si="27"/>
        <v>253.2650733139549</v>
      </c>
      <c r="O145" s="188">
        <v>0</v>
      </c>
      <c r="P145" s="188">
        <v>0</v>
      </c>
      <c r="Q145" s="188">
        <v>0</v>
      </c>
      <c r="R145" s="189">
        <f t="shared" si="28"/>
        <v>253.2650733139549</v>
      </c>
    </row>
    <row r="146" spans="1:19" x14ac:dyDescent="0.25">
      <c r="A146" s="110">
        <v>7</v>
      </c>
      <c r="B146" s="181">
        <f t="shared" si="35"/>
        <v>45108</v>
      </c>
      <c r="C146" s="201">
        <f t="shared" si="42"/>
        <v>45141</v>
      </c>
      <c r="D146" s="201">
        <f t="shared" si="42"/>
        <v>45162</v>
      </c>
      <c r="E146" s="52" t="s">
        <v>16</v>
      </c>
      <c r="F146" s="146">
        <v>9</v>
      </c>
      <c r="G146" s="183">
        <v>5</v>
      </c>
      <c r="H146" s="184">
        <f t="shared" si="25"/>
        <v>1716.58</v>
      </c>
      <c r="I146" s="184">
        <f t="shared" si="39"/>
        <v>1750.02</v>
      </c>
      <c r="J146" s="185">
        <f t="shared" si="36"/>
        <v>8750.1</v>
      </c>
      <c r="K146" s="192">
        <f t="shared" si="41"/>
        <v>8582.9</v>
      </c>
      <c r="L146" s="191">
        <f t="shared" si="43"/>
        <v>167.20000000000073</v>
      </c>
      <c r="M146" s="188">
        <f t="shared" si="26"/>
        <v>13.70362379568212</v>
      </c>
      <c r="N146" s="189">
        <f t="shared" si="27"/>
        <v>180.90362379568285</v>
      </c>
      <c r="O146" s="188">
        <v>0</v>
      </c>
      <c r="P146" s="188">
        <v>0</v>
      </c>
      <c r="Q146" s="188">
        <v>0</v>
      </c>
      <c r="R146" s="189">
        <f t="shared" si="28"/>
        <v>180.90362379568285</v>
      </c>
    </row>
    <row r="147" spans="1:19" x14ac:dyDescent="0.25">
      <c r="A147" s="146">
        <v>8</v>
      </c>
      <c r="B147" s="181">
        <f t="shared" si="35"/>
        <v>45139</v>
      </c>
      <c r="C147" s="201">
        <f t="shared" si="42"/>
        <v>45174</v>
      </c>
      <c r="D147" s="201">
        <f t="shared" si="42"/>
        <v>45194</v>
      </c>
      <c r="E147" s="52" t="s">
        <v>16</v>
      </c>
      <c r="F147" s="146">
        <v>9</v>
      </c>
      <c r="G147" s="183">
        <v>5</v>
      </c>
      <c r="H147" s="184">
        <f t="shared" si="25"/>
        <v>1716.58</v>
      </c>
      <c r="I147" s="184">
        <f t="shared" si="39"/>
        <v>1750.02</v>
      </c>
      <c r="J147" s="185">
        <f t="shared" si="36"/>
        <v>8750.1</v>
      </c>
      <c r="K147" s="192">
        <f t="shared" si="41"/>
        <v>8582.9</v>
      </c>
      <c r="L147" s="191">
        <f t="shared" si="43"/>
        <v>167.20000000000073</v>
      </c>
      <c r="M147" s="188">
        <f t="shared" si="26"/>
        <v>13.70362379568212</v>
      </c>
      <c r="N147" s="189">
        <f t="shared" si="27"/>
        <v>180.90362379568285</v>
      </c>
      <c r="O147" s="188">
        <v>0</v>
      </c>
      <c r="P147" s="188">
        <v>0</v>
      </c>
      <c r="Q147" s="188">
        <v>0</v>
      </c>
      <c r="R147" s="189">
        <f t="shared" si="28"/>
        <v>180.90362379568285</v>
      </c>
    </row>
    <row r="148" spans="1:19" x14ac:dyDescent="0.25">
      <c r="A148" s="146">
        <v>9</v>
      </c>
      <c r="B148" s="181">
        <f t="shared" si="35"/>
        <v>45170</v>
      </c>
      <c r="C148" s="201">
        <f t="shared" si="42"/>
        <v>45203</v>
      </c>
      <c r="D148" s="201">
        <f t="shared" si="42"/>
        <v>45223</v>
      </c>
      <c r="E148" s="52" t="s">
        <v>16</v>
      </c>
      <c r="F148" s="146">
        <v>9</v>
      </c>
      <c r="G148" s="183">
        <v>6</v>
      </c>
      <c r="H148" s="184">
        <f t="shared" si="25"/>
        <v>1716.58</v>
      </c>
      <c r="I148" s="184">
        <f t="shared" ref="I148:I179" si="44">$J$3</f>
        <v>1750.02</v>
      </c>
      <c r="J148" s="185">
        <f t="shared" si="36"/>
        <v>10500.119999999999</v>
      </c>
      <c r="K148" s="192">
        <f t="shared" si="41"/>
        <v>10299.48</v>
      </c>
      <c r="L148" s="191">
        <f t="shared" si="43"/>
        <v>200.63999999999942</v>
      </c>
      <c r="M148" s="188">
        <f t="shared" si="26"/>
        <v>16.444348554818543</v>
      </c>
      <c r="N148" s="189">
        <f t="shared" si="27"/>
        <v>217.08434855481795</v>
      </c>
      <c r="O148" s="188">
        <v>0</v>
      </c>
      <c r="P148" s="188">
        <v>0</v>
      </c>
      <c r="Q148" s="188">
        <v>0</v>
      </c>
      <c r="R148" s="189">
        <f t="shared" si="28"/>
        <v>217.08434855481795</v>
      </c>
    </row>
    <row r="149" spans="1:19" x14ac:dyDescent="0.25">
      <c r="A149" s="110">
        <v>10</v>
      </c>
      <c r="B149" s="181">
        <f t="shared" ref="B149:B211" si="45">DATE($R$1,A149,1)</f>
        <v>45200</v>
      </c>
      <c r="C149" s="201">
        <f t="shared" si="42"/>
        <v>45233</v>
      </c>
      <c r="D149" s="201">
        <f t="shared" si="42"/>
        <v>45254</v>
      </c>
      <c r="E149" s="52" t="s">
        <v>16</v>
      </c>
      <c r="F149" s="146">
        <v>9</v>
      </c>
      <c r="G149" s="183">
        <v>5</v>
      </c>
      <c r="H149" s="184">
        <f t="shared" ref="H149:H211" si="46">+$K$3</f>
        <v>1716.58</v>
      </c>
      <c r="I149" s="184">
        <f t="shared" si="44"/>
        <v>1750.02</v>
      </c>
      <c r="J149" s="185">
        <f t="shared" ref="J149:J211" si="47">+$G149*I149</f>
        <v>8750.1</v>
      </c>
      <c r="K149" s="192">
        <f t="shared" si="41"/>
        <v>8582.9</v>
      </c>
      <c r="L149" s="191">
        <f t="shared" si="43"/>
        <v>167.20000000000073</v>
      </c>
      <c r="M149" s="188">
        <f t="shared" ref="M149:M211" si="48">G149/$G$212*$M$14</f>
        <v>13.70362379568212</v>
      </c>
      <c r="N149" s="189">
        <f t="shared" ref="N149:N211" si="49">SUM(L149:M149)</f>
        <v>180.90362379568285</v>
      </c>
      <c r="O149" s="188">
        <v>0</v>
      </c>
      <c r="P149" s="188">
        <v>0</v>
      </c>
      <c r="Q149" s="188">
        <v>0</v>
      </c>
      <c r="R149" s="189">
        <f t="shared" ref="R149:R211" si="50">+N149-Q149</f>
        <v>180.90362379568285</v>
      </c>
    </row>
    <row r="150" spans="1:19" x14ac:dyDescent="0.25">
      <c r="A150" s="146">
        <v>11</v>
      </c>
      <c r="B150" s="181">
        <f t="shared" si="45"/>
        <v>45231</v>
      </c>
      <c r="C150" s="201">
        <f t="shared" si="42"/>
        <v>45266</v>
      </c>
      <c r="D150" s="201">
        <f t="shared" si="42"/>
        <v>45285</v>
      </c>
      <c r="E150" s="52" t="s">
        <v>16</v>
      </c>
      <c r="F150" s="146">
        <v>9</v>
      </c>
      <c r="G150" s="183">
        <v>4</v>
      </c>
      <c r="H150" s="184">
        <f t="shared" si="46"/>
        <v>1716.58</v>
      </c>
      <c r="I150" s="184">
        <f t="shared" si="44"/>
        <v>1750.02</v>
      </c>
      <c r="J150" s="185">
        <f t="shared" si="47"/>
        <v>7000.08</v>
      </c>
      <c r="K150" s="192">
        <f t="shared" si="41"/>
        <v>6866.32</v>
      </c>
      <c r="L150" s="191">
        <f t="shared" si="43"/>
        <v>133.76000000000022</v>
      </c>
      <c r="M150" s="188">
        <f t="shared" si="48"/>
        <v>10.962899036545695</v>
      </c>
      <c r="N150" s="189">
        <f t="shared" si="49"/>
        <v>144.72289903654593</v>
      </c>
      <c r="O150" s="188">
        <v>0</v>
      </c>
      <c r="P150" s="188">
        <v>0</v>
      </c>
      <c r="Q150" s="188">
        <v>0</v>
      </c>
      <c r="R150" s="189">
        <f t="shared" si="50"/>
        <v>144.72289903654593</v>
      </c>
    </row>
    <row r="151" spans="1:19" s="205" customFormat="1" x14ac:dyDescent="0.25">
      <c r="A151" s="146">
        <v>12</v>
      </c>
      <c r="B151" s="203">
        <f t="shared" si="45"/>
        <v>45261</v>
      </c>
      <c r="C151" s="201">
        <f t="shared" si="42"/>
        <v>45294</v>
      </c>
      <c r="D151" s="201">
        <f t="shared" si="42"/>
        <v>45315</v>
      </c>
      <c r="E151" s="204" t="s">
        <v>16</v>
      </c>
      <c r="F151" s="157">
        <v>9</v>
      </c>
      <c r="G151" s="183">
        <v>4</v>
      </c>
      <c r="H151" s="193">
        <f t="shared" si="46"/>
        <v>1716.58</v>
      </c>
      <c r="I151" s="193">
        <f t="shared" si="44"/>
        <v>1750.02</v>
      </c>
      <c r="J151" s="194">
        <f t="shared" si="47"/>
        <v>7000.08</v>
      </c>
      <c r="K151" s="195">
        <f t="shared" si="41"/>
        <v>6866.32</v>
      </c>
      <c r="L151" s="196">
        <f t="shared" si="43"/>
        <v>133.76000000000022</v>
      </c>
      <c r="M151" s="188">
        <f t="shared" si="48"/>
        <v>10.962899036545695</v>
      </c>
      <c r="N151" s="189">
        <f t="shared" si="49"/>
        <v>144.72289903654593</v>
      </c>
      <c r="O151" s="188">
        <v>0</v>
      </c>
      <c r="P151" s="188">
        <v>0</v>
      </c>
      <c r="Q151" s="188">
        <v>0</v>
      </c>
      <c r="R151" s="189">
        <f t="shared" si="50"/>
        <v>144.72289903654593</v>
      </c>
    </row>
    <row r="152" spans="1:19" x14ac:dyDescent="0.25">
      <c r="A152" s="110">
        <v>1</v>
      </c>
      <c r="B152" s="181">
        <f t="shared" si="45"/>
        <v>44927</v>
      </c>
      <c r="C152" s="198">
        <f t="shared" ref="C152:D171" si="51">+C140</f>
        <v>44960</v>
      </c>
      <c r="D152" s="198">
        <f t="shared" si="51"/>
        <v>44981</v>
      </c>
      <c r="E152" s="208" t="s">
        <v>54</v>
      </c>
      <c r="F152" s="110">
        <v>9</v>
      </c>
      <c r="G152" s="183">
        <v>113</v>
      </c>
      <c r="H152" s="184">
        <f t="shared" si="46"/>
        <v>1716.58</v>
      </c>
      <c r="I152" s="184">
        <f t="shared" si="44"/>
        <v>1750.02</v>
      </c>
      <c r="J152" s="185">
        <f t="shared" si="47"/>
        <v>197752.26</v>
      </c>
      <c r="K152" s="186">
        <f t="shared" si="41"/>
        <v>193973.53999999998</v>
      </c>
      <c r="L152" s="187">
        <f t="shared" si="43"/>
        <v>3778.7200000000303</v>
      </c>
      <c r="M152" s="188">
        <f t="shared" si="48"/>
        <v>309.70189778241587</v>
      </c>
      <c r="N152" s="189">
        <f t="shared" si="49"/>
        <v>4088.4218977824462</v>
      </c>
      <c r="O152" s="188">
        <v>0</v>
      </c>
      <c r="P152" s="188">
        <v>0</v>
      </c>
      <c r="Q152" s="188">
        <v>0</v>
      </c>
      <c r="R152" s="189">
        <f t="shared" si="50"/>
        <v>4088.4218977824462</v>
      </c>
    </row>
    <row r="153" spans="1:19" x14ac:dyDescent="0.25">
      <c r="A153" s="146">
        <v>2</v>
      </c>
      <c r="B153" s="181">
        <f t="shared" si="45"/>
        <v>44958</v>
      </c>
      <c r="C153" s="201">
        <f t="shared" si="51"/>
        <v>44988</v>
      </c>
      <c r="D153" s="201">
        <f t="shared" si="51"/>
        <v>45009</v>
      </c>
      <c r="E153" s="209" t="s">
        <v>54</v>
      </c>
      <c r="F153" s="146">
        <v>9</v>
      </c>
      <c r="G153" s="183">
        <v>108</v>
      </c>
      <c r="H153" s="184">
        <f t="shared" si="46"/>
        <v>1716.58</v>
      </c>
      <c r="I153" s="184">
        <f t="shared" si="44"/>
        <v>1750.02</v>
      </c>
      <c r="J153" s="185">
        <f t="shared" si="47"/>
        <v>189002.16</v>
      </c>
      <c r="K153" s="186">
        <f t="shared" si="41"/>
        <v>185390.63999999998</v>
      </c>
      <c r="L153" s="187">
        <f t="shared" si="43"/>
        <v>3611.5200000000186</v>
      </c>
      <c r="M153" s="188">
        <f t="shared" si="48"/>
        <v>295.99827398673381</v>
      </c>
      <c r="N153" s="189">
        <f t="shared" si="49"/>
        <v>3907.5182739867523</v>
      </c>
      <c r="O153" s="188">
        <v>0</v>
      </c>
      <c r="P153" s="188">
        <v>0</v>
      </c>
      <c r="Q153" s="188">
        <v>0</v>
      </c>
      <c r="R153" s="189">
        <f t="shared" si="50"/>
        <v>3907.5182739867523</v>
      </c>
    </row>
    <row r="154" spans="1:19" x14ac:dyDescent="0.25">
      <c r="A154" s="146">
        <v>3</v>
      </c>
      <c r="B154" s="181">
        <f t="shared" si="45"/>
        <v>44986</v>
      </c>
      <c r="C154" s="201">
        <f t="shared" si="51"/>
        <v>45021</v>
      </c>
      <c r="D154" s="201">
        <f t="shared" si="51"/>
        <v>45040</v>
      </c>
      <c r="E154" s="209" t="s">
        <v>54</v>
      </c>
      <c r="F154" s="146">
        <v>9</v>
      </c>
      <c r="G154" s="183">
        <v>96</v>
      </c>
      <c r="H154" s="184">
        <f t="shared" si="46"/>
        <v>1716.58</v>
      </c>
      <c r="I154" s="184">
        <f t="shared" si="44"/>
        <v>1750.02</v>
      </c>
      <c r="J154" s="185">
        <f t="shared" si="47"/>
        <v>168001.91999999998</v>
      </c>
      <c r="K154" s="186">
        <f t="shared" si="41"/>
        <v>164791.67999999999</v>
      </c>
      <c r="L154" s="187">
        <f>+J154-K154</f>
        <v>3210.2399999999907</v>
      </c>
      <c r="M154" s="188">
        <f t="shared" si="48"/>
        <v>263.10957687709669</v>
      </c>
      <c r="N154" s="189">
        <f t="shared" si="49"/>
        <v>3473.3495768770872</v>
      </c>
      <c r="O154" s="188">
        <v>0</v>
      </c>
      <c r="P154" s="188">
        <v>0</v>
      </c>
      <c r="Q154" s="188">
        <v>0</v>
      </c>
      <c r="R154" s="189">
        <f t="shared" si="50"/>
        <v>3473.3495768770872</v>
      </c>
    </row>
    <row r="155" spans="1:19" x14ac:dyDescent="0.25">
      <c r="A155" s="110">
        <v>4</v>
      </c>
      <c r="B155" s="181">
        <f t="shared" si="45"/>
        <v>45017</v>
      </c>
      <c r="C155" s="201">
        <f t="shared" si="51"/>
        <v>45049</v>
      </c>
      <c r="D155" s="201">
        <f t="shared" si="51"/>
        <v>45070</v>
      </c>
      <c r="E155" s="209" t="s">
        <v>54</v>
      </c>
      <c r="F155" s="146">
        <v>9</v>
      </c>
      <c r="G155" s="183">
        <v>91</v>
      </c>
      <c r="H155" s="184">
        <f t="shared" si="46"/>
        <v>1716.58</v>
      </c>
      <c r="I155" s="184">
        <f t="shared" si="44"/>
        <v>1750.02</v>
      </c>
      <c r="J155" s="185">
        <f t="shared" si="47"/>
        <v>159251.82</v>
      </c>
      <c r="K155" s="186">
        <f t="shared" si="41"/>
        <v>156208.78</v>
      </c>
      <c r="L155" s="187">
        <f t="shared" ref="L155:L165" si="52">+J155-K155</f>
        <v>3043.0400000000081</v>
      </c>
      <c r="M155" s="188">
        <f t="shared" si="48"/>
        <v>249.40595308141457</v>
      </c>
      <c r="N155" s="189">
        <f t="shared" si="49"/>
        <v>3292.4459530814229</v>
      </c>
      <c r="O155" s="188">
        <v>0</v>
      </c>
      <c r="P155" s="188">
        <v>0</v>
      </c>
      <c r="Q155" s="188">
        <v>0</v>
      </c>
      <c r="R155" s="189">
        <f t="shared" si="50"/>
        <v>3292.4459530814229</v>
      </c>
    </row>
    <row r="156" spans="1:19" x14ac:dyDescent="0.25">
      <c r="A156" s="146">
        <v>5</v>
      </c>
      <c r="B156" s="181">
        <f t="shared" si="45"/>
        <v>45047</v>
      </c>
      <c r="C156" s="201">
        <f t="shared" si="51"/>
        <v>45082</v>
      </c>
      <c r="D156" s="201">
        <f t="shared" si="51"/>
        <v>45103</v>
      </c>
      <c r="E156" s="209" t="s">
        <v>54</v>
      </c>
      <c r="F156" s="146">
        <v>9</v>
      </c>
      <c r="G156" s="183">
        <v>125</v>
      </c>
      <c r="H156" s="184">
        <f t="shared" si="46"/>
        <v>1716.58</v>
      </c>
      <c r="I156" s="184">
        <f t="shared" si="44"/>
        <v>1750.02</v>
      </c>
      <c r="J156" s="185">
        <f t="shared" si="47"/>
        <v>218752.5</v>
      </c>
      <c r="K156" s="186">
        <f t="shared" si="41"/>
        <v>214572.5</v>
      </c>
      <c r="L156" s="187">
        <f t="shared" si="52"/>
        <v>4180</v>
      </c>
      <c r="M156" s="188">
        <f t="shared" si="48"/>
        <v>342.59059489205299</v>
      </c>
      <c r="N156" s="189">
        <f t="shared" si="49"/>
        <v>4522.5905948920526</v>
      </c>
      <c r="O156" s="188">
        <v>0</v>
      </c>
      <c r="P156" s="188">
        <v>0</v>
      </c>
      <c r="Q156" s="188">
        <v>0</v>
      </c>
      <c r="R156" s="189">
        <f t="shared" si="50"/>
        <v>4522.5905948920526</v>
      </c>
    </row>
    <row r="157" spans="1:19" x14ac:dyDescent="0.25">
      <c r="A157" s="146">
        <v>6</v>
      </c>
      <c r="B157" s="181">
        <f t="shared" si="45"/>
        <v>45078</v>
      </c>
      <c r="C157" s="201">
        <f t="shared" si="51"/>
        <v>45112</v>
      </c>
      <c r="D157" s="201">
        <f t="shared" si="51"/>
        <v>45131</v>
      </c>
      <c r="E157" s="209" t="s">
        <v>54</v>
      </c>
      <c r="F157" s="146">
        <v>9</v>
      </c>
      <c r="G157" s="183">
        <v>167</v>
      </c>
      <c r="H157" s="184">
        <f t="shared" si="46"/>
        <v>1716.58</v>
      </c>
      <c r="I157" s="184">
        <f t="shared" si="44"/>
        <v>1750.02</v>
      </c>
      <c r="J157" s="185">
        <f t="shared" si="47"/>
        <v>292253.34000000003</v>
      </c>
      <c r="K157" s="186">
        <f t="shared" si="41"/>
        <v>286668.86</v>
      </c>
      <c r="L157" s="191">
        <f t="shared" si="52"/>
        <v>5584.4800000000396</v>
      </c>
      <c r="M157" s="188">
        <f t="shared" si="48"/>
        <v>457.70103477578277</v>
      </c>
      <c r="N157" s="189">
        <f t="shared" si="49"/>
        <v>6042.1810347758219</v>
      </c>
      <c r="O157" s="188">
        <v>0</v>
      </c>
      <c r="P157" s="188">
        <v>0</v>
      </c>
      <c r="Q157" s="188">
        <v>0</v>
      </c>
      <c r="R157" s="189">
        <f t="shared" si="50"/>
        <v>6042.1810347758219</v>
      </c>
    </row>
    <row r="158" spans="1:19" x14ac:dyDescent="0.25">
      <c r="A158" s="110">
        <v>7</v>
      </c>
      <c r="B158" s="181">
        <f t="shared" si="45"/>
        <v>45108</v>
      </c>
      <c r="C158" s="201">
        <f t="shared" si="51"/>
        <v>45141</v>
      </c>
      <c r="D158" s="201">
        <f t="shared" si="51"/>
        <v>45162</v>
      </c>
      <c r="E158" s="209" t="s">
        <v>54</v>
      </c>
      <c r="F158" s="146">
        <v>9</v>
      </c>
      <c r="G158" s="183">
        <v>160</v>
      </c>
      <c r="H158" s="184">
        <f t="shared" si="46"/>
        <v>1716.58</v>
      </c>
      <c r="I158" s="184">
        <f t="shared" si="44"/>
        <v>1750.02</v>
      </c>
      <c r="J158" s="185">
        <f t="shared" si="47"/>
        <v>280003.20000000001</v>
      </c>
      <c r="K158" s="192">
        <f t="shared" si="41"/>
        <v>274652.79999999999</v>
      </c>
      <c r="L158" s="191">
        <f t="shared" si="52"/>
        <v>5350.4000000000233</v>
      </c>
      <c r="M158" s="188">
        <f t="shared" si="48"/>
        <v>438.51596146182783</v>
      </c>
      <c r="N158" s="189">
        <f t="shared" si="49"/>
        <v>5788.9159614618511</v>
      </c>
      <c r="O158" s="188">
        <v>0</v>
      </c>
      <c r="P158" s="188">
        <v>0</v>
      </c>
      <c r="Q158" s="188">
        <v>0</v>
      </c>
      <c r="R158" s="189">
        <f t="shared" si="50"/>
        <v>5788.9159614618511</v>
      </c>
    </row>
    <row r="159" spans="1:19" x14ac:dyDescent="0.25">
      <c r="A159" s="146">
        <v>8</v>
      </c>
      <c r="B159" s="181">
        <f t="shared" si="45"/>
        <v>45139</v>
      </c>
      <c r="C159" s="201">
        <f t="shared" si="51"/>
        <v>45174</v>
      </c>
      <c r="D159" s="201">
        <f t="shared" si="51"/>
        <v>45194</v>
      </c>
      <c r="E159" s="209" t="s">
        <v>54</v>
      </c>
      <c r="F159" s="110">
        <v>9</v>
      </c>
      <c r="G159" s="183">
        <v>181</v>
      </c>
      <c r="H159" s="184">
        <f t="shared" si="46"/>
        <v>1716.58</v>
      </c>
      <c r="I159" s="184">
        <f t="shared" si="44"/>
        <v>1750.02</v>
      </c>
      <c r="J159" s="185">
        <f t="shared" si="47"/>
        <v>316753.62</v>
      </c>
      <c r="K159" s="192">
        <f t="shared" si="41"/>
        <v>310700.98</v>
      </c>
      <c r="L159" s="191">
        <f t="shared" si="52"/>
        <v>6052.640000000014</v>
      </c>
      <c r="M159" s="188">
        <f t="shared" si="48"/>
        <v>496.07118140369266</v>
      </c>
      <c r="N159" s="189">
        <f t="shared" si="49"/>
        <v>6548.7111814037071</v>
      </c>
      <c r="O159" s="188">
        <v>0</v>
      </c>
      <c r="P159" s="188">
        <v>0</v>
      </c>
      <c r="Q159" s="188">
        <v>0</v>
      </c>
      <c r="R159" s="189">
        <f t="shared" si="50"/>
        <v>6548.7111814037071</v>
      </c>
      <c r="S159" s="50"/>
    </row>
    <row r="160" spans="1:19" x14ac:dyDescent="0.25">
      <c r="A160" s="146">
        <v>9</v>
      </c>
      <c r="B160" s="181">
        <f t="shared" si="45"/>
        <v>45170</v>
      </c>
      <c r="C160" s="201">
        <f t="shared" si="51"/>
        <v>45203</v>
      </c>
      <c r="D160" s="201">
        <f t="shared" si="51"/>
        <v>45223</v>
      </c>
      <c r="E160" s="209" t="s">
        <v>54</v>
      </c>
      <c r="F160" s="110">
        <v>9</v>
      </c>
      <c r="G160" s="183">
        <v>157</v>
      </c>
      <c r="H160" s="184">
        <f t="shared" si="46"/>
        <v>1716.58</v>
      </c>
      <c r="I160" s="184">
        <f t="shared" si="44"/>
        <v>1750.02</v>
      </c>
      <c r="J160" s="185">
        <f t="shared" si="47"/>
        <v>274753.14</v>
      </c>
      <c r="K160" s="192">
        <f t="shared" si="41"/>
        <v>269503.06</v>
      </c>
      <c r="L160" s="191">
        <f t="shared" si="52"/>
        <v>5250.0800000000163</v>
      </c>
      <c r="M160" s="188">
        <f t="shared" si="48"/>
        <v>430.29378718441853</v>
      </c>
      <c r="N160" s="189">
        <f t="shared" si="49"/>
        <v>5680.3737871844351</v>
      </c>
      <c r="O160" s="188">
        <v>0</v>
      </c>
      <c r="P160" s="188">
        <v>0</v>
      </c>
      <c r="Q160" s="188">
        <v>0</v>
      </c>
      <c r="R160" s="189">
        <f t="shared" si="50"/>
        <v>5680.3737871844351</v>
      </c>
    </row>
    <row r="161" spans="1:19" x14ac:dyDescent="0.25">
      <c r="A161" s="110">
        <v>10</v>
      </c>
      <c r="B161" s="181">
        <f t="shared" si="45"/>
        <v>45200</v>
      </c>
      <c r="C161" s="201">
        <f t="shared" si="51"/>
        <v>45233</v>
      </c>
      <c r="D161" s="201">
        <f t="shared" si="51"/>
        <v>45254</v>
      </c>
      <c r="E161" s="209" t="s">
        <v>54</v>
      </c>
      <c r="F161" s="110">
        <v>9</v>
      </c>
      <c r="G161" s="183">
        <v>118</v>
      </c>
      <c r="H161" s="184">
        <f t="shared" si="46"/>
        <v>1716.58</v>
      </c>
      <c r="I161" s="184">
        <f t="shared" si="44"/>
        <v>1750.02</v>
      </c>
      <c r="J161" s="185">
        <f t="shared" si="47"/>
        <v>206502.36</v>
      </c>
      <c r="K161" s="192">
        <f t="shared" si="41"/>
        <v>202556.44</v>
      </c>
      <c r="L161" s="191">
        <f t="shared" si="52"/>
        <v>3945.9199999999837</v>
      </c>
      <c r="M161" s="188">
        <f t="shared" si="48"/>
        <v>323.40552157809799</v>
      </c>
      <c r="N161" s="189">
        <f t="shared" si="49"/>
        <v>4269.3255215780819</v>
      </c>
      <c r="O161" s="188">
        <v>0</v>
      </c>
      <c r="P161" s="188">
        <v>0</v>
      </c>
      <c r="Q161" s="188">
        <v>0</v>
      </c>
      <c r="R161" s="189">
        <f t="shared" si="50"/>
        <v>4269.3255215780819</v>
      </c>
    </row>
    <row r="162" spans="1:19" x14ac:dyDescent="0.25">
      <c r="A162" s="146">
        <v>11</v>
      </c>
      <c r="B162" s="181">
        <f t="shared" si="45"/>
        <v>45231</v>
      </c>
      <c r="C162" s="201">
        <f t="shared" si="51"/>
        <v>45266</v>
      </c>
      <c r="D162" s="201">
        <f t="shared" si="51"/>
        <v>45285</v>
      </c>
      <c r="E162" s="209" t="s">
        <v>54</v>
      </c>
      <c r="F162" s="110">
        <v>9</v>
      </c>
      <c r="G162" s="183">
        <v>102</v>
      </c>
      <c r="H162" s="184">
        <f t="shared" si="46"/>
        <v>1716.58</v>
      </c>
      <c r="I162" s="184">
        <f t="shared" si="44"/>
        <v>1750.02</v>
      </c>
      <c r="J162" s="185">
        <f t="shared" si="47"/>
        <v>178502.04</v>
      </c>
      <c r="K162" s="192">
        <f t="shared" si="41"/>
        <v>175091.16</v>
      </c>
      <c r="L162" s="191">
        <f t="shared" si="52"/>
        <v>3410.8800000000047</v>
      </c>
      <c r="M162" s="188">
        <f t="shared" si="48"/>
        <v>279.55392543191522</v>
      </c>
      <c r="N162" s="189">
        <f t="shared" si="49"/>
        <v>3690.4339254319198</v>
      </c>
      <c r="O162" s="188">
        <v>0</v>
      </c>
      <c r="P162" s="188">
        <v>0</v>
      </c>
      <c r="Q162" s="188">
        <v>0</v>
      </c>
      <c r="R162" s="189">
        <f t="shared" si="50"/>
        <v>3690.4339254319198</v>
      </c>
    </row>
    <row r="163" spans="1:19" s="205" customFormat="1" x14ac:dyDescent="0.25">
      <c r="A163" s="146">
        <v>12</v>
      </c>
      <c r="B163" s="203">
        <f t="shared" si="45"/>
        <v>45261</v>
      </c>
      <c r="C163" s="201">
        <f t="shared" si="51"/>
        <v>45294</v>
      </c>
      <c r="D163" s="201">
        <f t="shared" si="51"/>
        <v>45315</v>
      </c>
      <c r="E163" s="210" t="s">
        <v>54</v>
      </c>
      <c r="F163" s="157">
        <v>9</v>
      </c>
      <c r="G163" s="183">
        <v>99</v>
      </c>
      <c r="H163" s="193">
        <f t="shared" si="46"/>
        <v>1716.58</v>
      </c>
      <c r="I163" s="193">
        <f t="shared" si="44"/>
        <v>1750.02</v>
      </c>
      <c r="J163" s="194">
        <f t="shared" si="47"/>
        <v>173251.98</v>
      </c>
      <c r="K163" s="195">
        <f t="shared" si="41"/>
        <v>169941.41999999998</v>
      </c>
      <c r="L163" s="196">
        <f t="shared" si="52"/>
        <v>3310.5600000000268</v>
      </c>
      <c r="M163" s="188">
        <f t="shared" si="48"/>
        <v>271.33175115450598</v>
      </c>
      <c r="N163" s="189">
        <f t="shared" si="49"/>
        <v>3581.8917511545328</v>
      </c>
      <c r="O163" s="188">
        <v>0</v>
      </c>
      <c r="P163" s="188">
        <v>0</v>
      </c>
      <c r="Q163" s="188">
        <v>0</v>
      </c>
      <c r="R163" s="189">
        <f t="shared" si="50"/>
        <v>3581.8917511545328</v>
      </c>
    </row>
    <row r="164" spans="1:19" x14ac:dyDescent="0.25">
      <c r="A164" s="110">
        <v>1</v>
      </c>
      <c r="B164" s="181">
        <f t="shared" si="45"/>
        <v>44927</v>
      </c>
      <c r="C164" s="198">
        <f t="shared" si="51"/>
        <v>44960</v>
      </c>
      <c r="D164" s="198">
        <f t="shared" si="51"/>
        <v>44981</v>
      </c>
      <c r="E164" s="208" t="s">
        <v>55</v>
      </c>
      <c r="F164" s="110">
        <v>9</v>
      </c>
      <c r="G164" s="183">
        <v>7</v>
      </c>
      <c r="H164" s="184">
        <f t="shared" si="46"/>
        <v>1716.58</v>
      </c>
      <c r="I164" s="184">
        <f t="shared" si="44"/>
        <v>1750.02</v>
      </c>
      <c r="J164" s="185">
        <f t="shared" si="47"/>
        <v>12250.14</v>
      </c>
      <c r="K164" s="186">
        <f t="shared" si="41"/>
        <v>12016.06</v>
      </c>
      <c r="L164" s="187">
        <f t="shared" si="52"/>
        <v>234.07999999999993</v>
      </c>
      <c r="M164" s="188">
        <f t="shared" si="48"/>
        <v>19.185073313954966</v>
      </c>
      <c r="N164" s="189">
        <f t="shared" si="49"/>
        <v>253.2650733139549</v>
      </c>
      <c r="O164" s="188">
        <v>0</v>
      </c>
      <c r="P164" s="188">
        <v>0</v>
      </c>
      <c r="Q164" s="188">
        <v>0</v>
      </c>
      <c r="R164" s="189">
        <f t="shared" si="50"/>
        <v>253.2650733139549</v>
      </c>
    </row>
    <row r="165" spans="1:19" x14ac:dyDescent="0.25">
      <c r="A165" s="146">
        <v>2</v>
      </c>
      <c r="B165" s="181">
        <f t="shared" si="45"/>
        <v>44958</v>
      </c>
      <c r="C165" s="201">
        <f t="shared" si="51"/>
        <v>44988</v>
      </c>
      <c r="D165" s="201">
        <f t="shared" si="51"/>
        <v>45009</v>
      </c>
      <c r="E165" s="209" t="s">
        <v>55</v>
      </c>
      <c r="F165" s="146">
        <v>9</v>
      </c>
      <c r="G165" s="183">
        <v>10</v>
      </c>
      <c r="H165" s="184">
        <f t="shared" si="46"/>
        <v>1716.58</v>
      </c>
      <c r="I165" s="184">
        <f t="shared" si="44"/>
        <v>1750.02</v>
      </c>
      <c r="J165" s="185">
        <f t="shared" si="47"/>
        <v>17500.2</v>
      </c>
      <c r="K165" s="186">
        <f t="shared" si="41"/>
        <v>17165.8</v>
      </c>
      <c r="L165" s="187">
        <f t="shared" si="52"/>
        <v>334.40000000000146</v>
      </c>
      <c r="M165" s="188">
        <f t="shared" si="48"/>
        <v>27.407247591364239</v>
      </c>
      <c r="N165" s="189">
        <f t="shared" si="49"/>
        <v>361.80724759136569</v>
      </c>
      <c r="O165" s="188">
        <v>0</v>
      </c>
      <c r="P165" s="188">
        <v>0</v>
      </c>
      <c r="Q165" s="188">
        <v>0</v>
      </c>
      <c r="R165" s="189">
        <f t="shared" si="50"/>
        <v>361.80724759136569</v>
      </c>
    </row>
    <row r="166" spans="1:19" x14ac:dyDescent="0.25">
      <c r="A166" s="146">
        <v>3</v>
      </c>
      <c r="B166" s="181">
        <f t="shared" si="45"/>
        <v>44986</v>
      </c>
      <c r="C166" s="201">
        <f t="shared" si="51"/>
        <v>45021</v>
      </c>
      <c r="D166" s="201">
        <f t="shared" si="51"/>
        <v>45040</v>
      </c>
      <c r="E166" s="209" t="s">
        <v>55</v>
      </c>
      <c r="F166" s="146">
        <v>9</v>
      </c>
      <c r="G166" s="183">
        <v>8</v>
      </c>
      <c r="H166" s="184">
        <f t="shared" si="46"/>
        <v>1716.58</v>
      </c>
      <c r="I166" s="184">
        <f t="shared" si="44"/>
        <v>1750.02</v>
      </c>
      <c r="J166" s="185">
        <f t="shared" si="47"/>
        <v>14000.16</v>
      </c>
      <c r="K166" s="186">
        <f t="shared" si="41"/>
        <v>13732.64</v>
      </c>
      <c r="L166" s="187">
        <f>+J166-K166</f>
        <v>267.52000000000044</v>
      </c>
      <c r="M166" s="188">
        <f t="shared" si="48"/>
        <v>21.925798073091389</v>
      </c>
      <c r="N166" s="189">
        <f t="shared" si="49"/>
        <v>289.44579807309185</v>
      </c>
      <c r="O166" s="188">
        <v>0</v>
      </c>
      <c r="P166" s="188">
        <v>0</v>
      </c>
      <c r="Q166" s="188">
        <v>0</v>
      </c>
      <c r="R166" s="189">
        <f t="shared" si="50"/>
        <v>289.44579807309185</v>
      </c>
    </row>
    <row r="167" spans="1:19" x14ac:dyDescent="0.25">
      <c r="A167" s="110">
        <v>4</v>
      </c>
      <c r="B167" s="181">
        <f t="shared" si="45"/>
        <v>45017</v>
      </c>
      <c r="C167" s="201">
        <f t="shared" si="51"/>
        <v>45049</v>
      </c>
      <c r="D167" s="201">
        <f t="shared" si="51"/>
        <v>45070</v>
      </c>
      <c r="E167" s="209" t="s">
        <v>55</v>
      </c>
      <c r="F167" s="146">
        <v>9</v>
      </c>
      <c r="G167" s="183">
        <v>8</v>
      </c>
      <c r="H167" s="184">
        <f t="shared" si="46"/>
        <v>1716.58</v>
      </c>
      <c r="I167" s="184">
        <f t="shared" si="44"/>
        <v>1750.02</v>
      </c>
      <c r="J167" s="185">
        <f t="shared" si="47"/>
        <v>14000.16</v>
      </c>
      <c r="K167" s="186">
        <f t="shared" si="41"/>
        <v>13732.64</v>
      </c>
      <c r="L167" s="187">
        <f t="shared" ref="L167:L177" si="53">+J167-K167</f>
        <v>267.52000000000044</v>
      </c>
      <c r="M167" s="188">
        <f t="shared" si="48"/>
        <v>21.925798073091389</v>
      </c>
      <c r="N167" s="189">
        <f t="shared" si="49"/>
        <v>289.44579807309185</v>
      </c>
      <c r="O167" s="188">
        <v>0</v>
      </c>
      <c r="P167" s="188">
        <v>0</v>
      </c>
      <c r="Q167" s="188">
        <v>0</v>
      </c>
      <c r="R167" s="189">
        <f t="shared" si="50"/>
        <v>289.44579807309185</v>
      </c>
    </row>
    <row r="168" spans="1:19" x14ac:dyDescent="0.25">
      <c r="A168" s="146">
        <v>5</v>
      </c>
      <c r="B168" s="181">
        <f t="shared" si="45"/>
        <v>45047</v>
      </c>
      <c r="C168" s="201">
        <f t="shared" si="51"/>
        <v>45082</v>
      </c>
      <c r="D168" s="201">
        <f t="shared" si="51"/>
        <v>45103</v>
      </c>
      <c r="E168" s="209" t="s">
        <v>55</v>
      </c>
      <c r="F168" s="146">
        <v>9</v>
      </c>
      <c r="G168" s="183">
        <v>10</v>
      </c>
      <c r="H168" s="184">
        <f t="shared" si="46"/>
        <v>1716.58</v>
      </c>
      <c r="I168" s="184">
        <f t="shared" si="44"/>
        <v>1750.02</v>
      </c>
      <c r="J168" s="185">
        <f t="shared" si="47"/>
        <v>17500.2</v>
      </c>
      <c r="K168" s="186">
        <f t="shared" si="41"/>
        <v>17165.8</v>
      </c>
      <c r="L168" s="187">
        <f t="shared" si="53"/>
        <v>334.40000000000146</v>
      </c>
      <c r="M168" s="188">
        <f t="shared" si="48"/>
        <v>27.407247591364239</v>
      </c>
      <c r="N168" s="189">
        <f t="shared" si="49"/>
        <v>361.80724759136569</v>
      </c>
      <c r="O168" s="188">
        <v>0</v>
      </c>
      <c r="P168" s="188">
        <v>0</v>
      </c>
      <c r="Q168" s="188">
        <v>0</v>
      </c>
      <c r="R168" s="189">
        <f t="shared" si="50"/>
        <v>361.80724759136569</v>
      </c>
    </row>
    <row r="169" spans="1:19" x14ac:dyDescent="0.25">
      <c r="A169" s="146">
        <v>6</v>
      </c>
      <c r="B169" s="181">
        <f t="shared" si="45"/>
        <v>45078</v>
      </c>
      <c r="C169" s="201">
        <f t="shared" si="51"/>
        <v>45112</v>
      </c>
      <c r="D169" s="201">
        <f t="shared" si="51"/>
        <v>45131</v>
      </c>
      <c r="E169" s="209" t="s">
        <v>55</v>
      </c>
      <c r="F169" s="146">
        <v>9</v>
      </c>
      <c r="G169" s="183">
        <v>12</v>
      </c>
      <c r="H169" s="184">
        <f t="shared" si="46"/>
        <v>1716.58</v>
      </c>
      <c r="I169" s="184">
        <f t="shared" si="44"/>
        <v>1750.02</v>
      </c>
      <c r="J169" s="185">
        <f t="shared" si="47"/>
        <v>21000.239999999998</v>
      </c>
      <c r="K169" s="186">
        <f t="shared" si="41"/>
        <v>20598.96</v>
      </c>
      <c r="L169" s="191">
        <f t="shared" si="53"/>
        <v>401.27999999999884</v>
      </c>
      <c r="M169" s="188">
        <f t="shared" si="48"/>
        <v>32.888697109637086</v>
      </c>
      <c r="N169" s="189">
        <f t="shared" si="49"/>
        <v>434.1686971096359</v>
      </c>
      <c r="O169" s="188">
        <v>0</v>
      </c>
      <c r="P169" s="188">
        <v>0</v>
      </c>
      <c r="Q169" s="188">
        <v>0</v>
      </c>
      <c r="R169" s="189">
        <f t="shared" si="50"/>
        <v>434.1686971096359</v>
      </c>
    </row>
    <row r="170" spans="1:19" x14ac:dyDescent="0.25">
      <c r="A170" s="110">
        <v>7</v>
      </c>
      <c r="B170" s="181">
        <f t="shared" si="45"/>
        <v>45108</v>
      </c>
      <c r="C170" s="201">
        <f t="shared" si="51"/>
        <v>45141</v>
      </c>
      <c r="D170" s="201">
        <f t="shared" si="51"/>
        <v>45162</v>
      </c>
      <c r="E170" s="209" t="s">
        <v>55</v>
      </c>
      <c r="F170" s="146">
        <v>9</v>
      </c>
      <c r="G170" s="183">
        <v>14</v>
      </c>
      <c r="H170" s="184">
        <f t="shared" si="46"/>
        <v>1716.58</v>
      </c>
      <c r="I170" s="184">
        <f t="shared" si="44"/>
        <v>1750.02</v>
      </c>
      <c r="J170" s="185">
        <f t="shared" si="47"/>
        <v>24500.28</v>
      </c>
      <c r="K170" s="192">
        <f t="shared" si="41"/>
        <v>24032.12</v>
      </c>
      <c r="L170" s="191">
        <f t="shared" si="53"/>
        <v>468.15999999999985</v>
      </c>
      <c r="M170" s="188">
        <f t="shared" si="48"/>
        <v>38.370146627909932</v>
      </c>
      <c r="N170" s="189">
        <f t="shared" si="49"/>
        <v>506.5301466279098</v>
      </c>
      <c r="O170" s="188">
        <v>0</v>
      </c>
      <c r="P170" s="188">
        <v>0</v>
      </c>
      <c r="Q170" s="188">
        <v>0</v>
      </c>
      <c r="R170" s="189">
        <f t="shared" si="50"/>
        <v>506.5301466279098</v>
      </c>
    </row>
    <row r="171" spans="1:19" x14ac:dyDescent="0.25">
      <c r="A171" s="146">
        <v>8</v>
      </c>
      <c r="B171" s="181">
        <f t="shared" si="45"/>
        <v>45139</v>
      </c>
      <c r="C171" s="201">
        <f t="shared" si="51"/>
        <v>45174</v>
      </c>
      <c r="D171" s="201">
        <f t="shared" si="51"/>
        <v>45194</v>
      </c>
      <c r="E171" s="209" t="s">
        <v>55</v>
      </c>
      <c r="F171" s="110">
        <v>9</v>
      </c>
      <c r="G171" s="183">
        <v>13</v>
      </c>
      <c r="H171" s="184">
        <f t="shared" si="46"/>
        <v>1716.58</v>
      </c>
      <c r="I171" s="184">
        <f t="shared" si="44"/>
        <v>1750.02</v>
      </c>
      <c r="J171" s="185">
        <f t="shared" si="47"/>
        <v>22750.26</v>
      </c>
      <c r="K171" s="192">
        <f t="shared" si="41"/>
        <v>22315.54</v>
      </c>
      <c r="L171" s="191">
        <f t="shared" si="53"/>
        <v>434.71999999999753</v>
      </c>
      <c r="M171" s="188">
        <f t="shared" si="48"/>
        <v>35.629421868773505</v>
      </c>
      <c r="N171" s="189">
        <f t="shared" si="49"/>
        <v>470.34942186877106</v>
      </c>
      <c r="O171" s="188">
        <v>0</v>
      </c>
      <c r="P171" s="188">
        <v>0</v>
      </c>
      <c r="Q171" s="188">
        <v>0</v>
      </c>
      <c r="R171" s="189">
        <f t="shared" si="50"/>
        <v>470.34942186877106</v>
      </c>
      <c r="S171" s="50"/>
    </row>
    <row r="172" spans="1:19" x14ac:dyDescent="0.25">
      <c r="A172" s="146">
        <v>9</v>
      </c>
      <c r="B172" s="181">
        <f t="shared" si="45"/>
        <v>45170</v>
      </c>
      <c r="C172" s="201">
        <f t="shared" ref="C172:D175" si="54">+C160</f>
        <v>45203</v>
      </c>
      <c r="D172" s="201">
        <f t="shared" si="54"/>
        <v>45223</v>
      </c>
      <c r="E172" s="209" t="s">
        <v>55</v>
      </c>
      <c r="F172" s="110">
        <v>9</v>
      </c>
      <c r="G172" s="183">
        <v>13</v>
      </c>
      <c r="H172" s="184">
        <f t="shared" si="46"/>
        <v>1716.58</v>
      </c>
      <c r="I172" s="184">
        <f t="shared" si="44"/>
        <v>1750.02</v>
      </c>
      <c r="J172" s="185">
        <f t="shared" si="47"/>
        <v>22750.26</v>
      </c>
      <c r="K172" s="192">
        <f t="shared" si="41"/>
        <v>22315.54</v>
      </c>
      <c r="L172" s="191">
        <f t="shared" si="53"/>
        <v>434.71999999999753</v>
      </c>
      <c r="M172" s="188">
        <f t="shared" si="48"/>
        <v>35.629421868773505</v>
      </c>
      <c r="N172" s="189">
        <f t="shared" si="49"/>
        <v>470.34942186877106</v>
      </c>
      <c r="O172" s="188">
        <v>0</v>
      </c>
      <c r="P172" s="188">
        <v>0</v>
      </c>
      <c r="Q172" s="188">
        <v>0</v>
      </c>
      <c r="R172" s="189">
        <f t="shared" si="50"/>
        <v>470.34942186877106</v>
      </c>
    </row>
    <row r="173" spans="1:19" x14ac:dyDescent="0.25">
      <c r="A173" s="110">
        <v>10</v>
      </c>
      <c r="B173" s="181">
        <f t="shared" si="45"/>
        <v>45200</v>
      </c>
      <c r="C173" s="201">
        <f t="shared" si="54"/>
        <v>45233</v>
      </c>
      <c r="D173" s="201">
        <f t="shared" si="54"/>
        <v>45254</v>
      </c>
      <c r="E173" s="209" t="s">
        <v>55</v>
      </c>
      <c r="F173" s="110">
        <v>9</v>
      </c>
      <c r="G173" s="183">
        <v>11</v>
      </c>
      <c r="H173" s="184">
        <f t="shared" si="46"/>
        <v>1716.58</v>
      </c>
      <c r="I173" s="184">
        <f t="shared" si="44"/>
        <v>1750.02</v>
      </c>
      <c r="J173" s="185">
        <f t="shared" si="47"/>
        <v>19250.22</v>
      </c>
      <c r="K173" s="192">
        <f t="shared" si="41"/>
        <v>18882.379999999997</v>
      </c>
      <c r="L173" s="191">
        <f t="shared" si="53"/>
        <v>367.84000000000378</v>
      </c>
      <c r="M173" s="188">
        <f t="shared" si="48"/>
        <v>30.147972350500662</v>
      </c>
      <c r="N173" s="189">
        <f t="shared" si="49"/>
        <v>397.98797235050444</v>
      </c>
      <c r="O173" s="188">
        <v>0</v>
      </c>
      <c r="P173" s="188">
        <v>0</v>
      </c>
      <c r="Q173" s="188">
        <v>0</v>
      </c>
      <c r="R173" s="189">
        <f t="shared" si="50"/>
        <v>397.98797235050444</v>
      </c>
    </row>
    <row r="174" spans="1:19" x14ac:dyDescent="0.25">
      <c r="A174" s="146">
        <v>11</v>
      </c>
      <c r="B174" s="181">
        <f t="shared" si="45"/>
        <v>45231</v>
      </c>
      <c r="C174" s="201">
        <f t="shared" si="54"/>
        <v>45266</v>
      </c>
      <c r="D174" s="201">
        <f t="shared" si="54"/>
        <v>45285</v>
      </c>
      <c r="E174" s="209" t="s">
        <v>55</v>
      </c>
      <c r="F174" s="110">
        <v>9</v>
      </c>
      <c r="G174" s="183">
        <v>7</v>
      </c>
      <c r="H174" s="184">
        <f t="shared" si="46"/>
        <v>1716.58</v>
      </c>
      <c r="I174" s="184">
        <f t="shared" si="44"/>
        <v>1750.02</v>
      </c>
      <c r="J174" s="185">
        <f t="shared" si="47"/>
        <v>12250.14</v>
      </c>
      <c r="K174" s="192">
        <f t="shared" si="41"/>
        <v>12016.06</v>
      </c>
      <c r="L174" s="191">
        <f t="shared" si="53"/>
        <v>234.07999999999993</v>
      </c>
      <c r="M174" s="188">
        <f t="shared" si="48"/>
        <v>19.185073313954966</v>
      </c>
      <c r="N174" s="189">
        <f t="shared" si="49"/>
        <v>253.2650733139549</v>
      </c>
      <c r="O174" s="188">
        <v>0</v>
      </c>
      <c r="P174" s="188">
        <v>0</v>
      </c>
      <c r="Q174" s="188">
        <v>0</v>
      </c>
      <c r="R174" s="189">
        <f t="shared" si="50"/>
        <v>253.2650733139549</v>
      </c>
    </row>
    <row r="175" spans="1:19" s="205" customFormat="1" x14ac:dyDescent="0.25">
      <c r="A175" s="146">
        <v>12</v>
      </c>
      <c r="B175" s="203">
        <f t="shared" si="45"/>
        <v>45261</v>
      </c>
      <c r="C175" s="201">
        <f t="shared" si="54"/>
        <v>45294</v>
      </c>
      <c r="D175" s="201">
        <f t="shared" si="54"/>
        <v>45315</v>
      </c>
      <c r="E175" s="210" t="s">
        <v>55</v>
      </c>
      <c r="F175" s="157">
        <v>9</v>
      </c>
      <c r="G175" s="183">
        <v>8</v>
      </c>
      <c r="H175" s="193">
        <f t="shared" si="46"/>
        <v>1716.58</v>
      </c>
      <c r="I175" s="193">
        <f t="shared" si="44"/>
        <v>1750.02</v>
      </c>
      <c r="J175" s="194">
        <f t="shared" si="47"/>
        <v>14000.16</v>
      </c>
      <c r="K175" s="195">
        <f t="shared" si="41"/>
        <v>13732.64</v>
      </c>
      <c r="L175" s="196">
        <f t="shared" si="53"/>
        <v>267.52000000000044</v>
      </c>
      <c r="M175" s="188">
        <f t="shared" si="48"/>
        <v>21.925798073091389</v>
      </c>
      <c r="N175" s="189">
        <f t="shared" si="49"/>
        <v>289.44579807309185</v>
      </c>
      <c r="O175" s="188">
        <v>0</v>
      </c>
      <c r="P175" s="188">
        <v>0</v>
      </c>
      <c r="Q175" s="188">
        <v>0</v>
      </c>
      <c r="R175" s="189">
        <f t="shared" si="50"/>
        <v>289.44579807309185</v>
      </c>
    </row>
    <row r="176" spans="1:19" x14ac:dyDescent="0.25">
      <c r="A176" s="110">
        <v>1</v>
      </c>
      <c r="B176" s="181">
        <f t="shared" si="45"/>
        <v>44927</v>
      </c>
      <c r="C176" s="198">
        <f t="shared" ref="C176:D187" si="55">+C152</f>
        <v>44960</v>
      </c>
      <c r="D176" s="198">
        <f t="shared" si="55"/>
        <v>44981</v>
      </c>
      <c r="E176" s="208" t="s">
        <v>56</v>
      </c>
      <c r="F176" s="146">
        <v>9</v>
      </c>
      <c r="G176" s="183">
        <v>21</v>
      </c>
      <c r="H176" s="184">
        <f t="shared" si="46"/>
        <v>1716.58</v>
      </c>
      <c r="I176" s="184">
        <f t="shared" si="44"/>
        <v>1750.02</v>
      </c>
      <c r="J176" s="185">
        <f t="shared" si="47"/>
        <v>36750.42</v>
      </c>
      <c r="K176" s="186">
        <f t="shared" si="41"/>
        <v>36048.18</v>
      </c>
      <c r="L176" s="187">
        <f t="shared" si="53"/>
        <v>702.23999999999796</v>
      </c>
      <c r="M176" s="188">
        <f t="shared" si="48"/>
        <v>57.555219941864898</v>
      </c>
      <c r="N176" s="189">
        <f t="shared" si="49"/>
        <v>759.79521994186291</v>
      </c>
      <c r="O176" s="188">
        <v>0</v>
      </c>
      <c r="P176" s="188">
        <v>0</v>
      </c>
      <c r="Q176" s="188">
        <v>0</v>
      </c>
      <c r="R176" s="189">
        <f t="shared" si="50"/>
        <v>759.79521994186291</v>
      </c>
    </row>
    <row r="177" spans="1:18" x14ac:dyDescent="0.25">
      <c r="A177" s="146">
        <v>2</v>
      </c>
      <c r="B177" s="181">
        <f t="shared" si="45"/>
        <v>44958</v>
      </c>
      <c r="C177" s="201">
        <f t="shared" si="55"/>
        <v>44988</v>
      </c>
      <c r="D177" s="201">
        <f t="shared" si="55"/>
        <v>45009</v>
      </c>
      <c r="E177" s="52" t="s">
        <v>56</v>
      </c>
      <c r="F177" s="146">
        <v>9</v>
      </c>
      <c r="G177" s="183">
        <v>21</v>
      </c>
      <c r="H177" s="184">
        <f t="shared" si="46"/>
        <v>1716.58</v>
      </c>
      <c r="I177" s="184">
        <f t="shared" si="44"/>
        <v>1750.02</v>
      </c>
      <c r="J177" s="185">
        <f t="shared" si="47"/>
        <v>36750.42</v>
      </c>
      <c r="K177" s="186">
        <f t="shared" si="41"/>
        <v>36048.18</v>
      </c>
      <c r="L177" s="187">
        <f t="shared" si="53"/>
        <v>702.23999999999796</v>
      </c>
      <c r="M177" s="188">
        <f t="shared" si="48"/>
        <v>57.555219941864898</v>
      </c>
      <c r="N177" s="189">
        <f t="shared" si="49"/>
        <v>759.79521994186291</v>
      </c>
      <c r="O177" s="188">
        <v>0</v>
      </c>
      <c r="P177" s="188">
        <v>0</v>
      </c>
      <c r="Q177" s="188">
        <v>0</v>
      </c>
      <c r="R177" s="189">
        <f t="shared" si="50"/>
        <v>759.79521994186291</v>
      </c>
    </row>
    <row r="178" spans="1:18" x14ac:dyDescent="0.25">
      <c r="A178" s="146">
        <v>3</v>
      </c>
      <c r="B178" s="181">
        <f t="shared" si="45"/>
        <v>44986</v>
      </c>
      <c r="C178" s="201">
        <f t="shared" si="55"/>
        <v>45021</v>
      </c>
      <c r="D178" s="201">
        <f t="shared" si="55"/>
        <v>45040</v>
      </c>
      <c r="E178" s="52" t="s">
        <v>56</v>
      </c>
      <c r="F178" s="146">
        <v>9</v>
      </c>
      <c r="G178" s="183">
        <v>19</v>
      </c>
      <c r="H178" s="184">
        <f t="shared" si="46"/>
        <v>1716.58</v>
      </c>
      <c r="I178" s="184">
        <f t="shared" si="44"/>
        <v>1750.02</v>
      </c>
      <c r="J178" s="185">
        <f t="shared" si="47"/>
        <v>33250.379999999997</v>
      </c>
      <c r="K178" s="186">
        <f t="shared" si="41"/>
        <v>32615.019999999997</v>
      </c>
      <c r="L178" s="187">
        <f>+J178-K178</f>
        <v>635.36000000000058</v>
      </c>
      <c r="M178" s="188">
        <f t="shared" si="48"/>
        <v>52.073770423592052</v>
      </c>
      <c r="N178" s="189">
        <f t="shared" si="49"/>
        <v>687.43377042359259</v>
      </c>
      <c r="O178" s="188">
        <v>0</v>
      </c>
      <c r="P178" s="188">
        <v>0</v>
      </c>
      <c r="Q178" s="188">
        <v>0</v>
      </c>
      <c r="R178" s="189">
        <f t="shared" si="50"/>
        <v>687.43377042359259</v>
      </c>
    </row>
    <row r="179" spans="1:18" x14ac:dyDescent="0.25">
      <c r="A179" s="110">
        <v>4</v>
      </c>
      <c r="B179" s="181">
        <f t="shared" si="45"/>
        <v>45017</v>
      </c>
      <c r="C179" s="201">
        <f t="shared" si="55"/>
        <v>45049</v>
      </c>
      <c r="D179" s="201">
        <f t="shared" si="55"/>
        <v>45070</v>
      </c>
      <c r="E179" s="52" t="s">
        <v>56</v>
      </c>
      <c r="F179" s="146">
        <v>9</v>
      </c>
      <c r="G179" s="183">
        <v>21</v>
      </c>
      <c r="H179" s="184">
        <f t="shared" si="46"/>
        <v>1716.58</v>
      </c>
      <c r="I179" s="184">
        <f t="shared" si="44"/>
        <v>1750.02</v>
      </c>
      <c r="J179" s="185">
        <f t="shared" si="47"/>
        <v>36750.42</v>
      </c>
      <c r="K179" s="186">
        <f t="shared" si="41"/>
        <v>36048.18</v>
      </c>
      <c r="L179" s="187">
        <f t="shared" ref="L179:L189" si="56">+J179-K179</f>
        <v>702.23999999999796</v>
      </c>
      <c r="M179" s="188">
        <f t="shared" si="48"/>
        <v>57.555219941864898</v>
      </c>
      <c r="N179" s="189">
        <f t="shared" si="49"/>
        <v>759.79521994186291</v>
      </c>
      <c r="O179" s="188">
        <v>0</v>
      </c>
      <c r="P179" s="188">
        <v>0</v>
      </c>
      <c r="Q179" s="188">
        <v>0</v>
      </c>
      <c r="R179" s="189">
        <f t="shared" si="50"/>
        <v>759.79521994186291</v>
      </c>
    </row>
    <row r="180" spans="1:18" x14ac:dyDescent="0.25">
      <c r="A180" s="146">
        <v>5</v>
      </c>
      <c r="B180" s="181">
        <f t="shared" si="45"/>
        <v>45047</v>
      </c>
      <c r="C180" s="201">
        <f t="shared" si="55"/>
        <v>45082</v>
      </c>
      <c r="D180" s="201">
        <f t="shared" si="55"/>
        <v>45103</v>
      </c>
      <c r="E180" s="52" t="s">
        <v>56</v>
      </c>
      <c r="F180" s="146">
        <v>9</v>
      </c>
      <c r="G180" s="183">
        <v>28</v>
      </c>
      <c r="H180" s="184">
        <f t="shared" si="46"/>
        <v>1716.58</v>
      </c>
      <c r="I180" s="184">
        <f t="shared" ref="I180:I211" si="57">$J$3</f>
        <v>1750.02</v>
      </c>
      <c r="J180" s="185">
        <f t="shared" si="47"/>
        <v>49000.56</v>
      </c>
      <c r="K180" s="186">
        <f t="shared" si="41"/>
        <v>48064.24</v>
      </c>
      <c r="L180" s="187">
        <f t="shared" si="56"/>
        <v>936.31999999999971</v>
      </c>
      <c r="M180" s="188">
        <f t="shared" si="48"/>
        <v>76.740293255819864</v>
      </c>
      <c r="N180" s="189">
        <f t="shared" si="49"/>
        <v>1013.0602932558196</v>
      </c>
      <c r="O180" s="188">
        <v>0</v>
      </c>
      <c r="P180" s="188">
        <v>0</v>
      </c>
      <c r="Q180" s="188">
        <v>0</v>
      </c>
      <c r="R180" s="189">
        <f t="shared" si="50"/>
        <v>1013.0602932558196</v>
      </c>
    </row>
    <row r="181" spans="1:18" x14ac:dyDescent="0.25">
      <c r="A181" s="146">
        <v>6</v>
      </c>
      <c r="B181" s="181">
        <f t="shared" si="45"/>
        <v>45078</v>
      </c>
      <c r="C181" s="201">
        <f t="shared" si="55"/>
        <v>45112</v>
      </c>
      <c r="D181" s="201">
        <f t="shared" si="55"/>
        <v>45131</v>
      </c>
      <c r="E181" s="52" t="s">
        <v>56</v>
      </c>
      <c r="F181" s="146">
        <v>9</v>
      </c>
      <c r="G181" s="183">
        <v>37</v>
      </c>
      <c r="H181" s="184">
        <f t="shared" si="46"/>
        <v>1716.58</v>
      </c>
      <c r="I181" s="184">
        <f t="shared" si="57"/>
        <v>1750.02</v>
      </c>
      <c r="J181" s="185">
        <f t="shared" si="47"/>
        <v>64750.74</v>
      </c>
      <c r="K181" s="186">
        <f t="shared" si="41"/>
        <v>63513.46</v>
      </c>
      <c r="L181" s="191">
        <f t="shared" si="56"/>
        <v>1237.2799999999988</v>
      </c>
      <c r="M181" s="188">
        <f t="shared" si="48"/>
        <v>101.40681608804768</v>
      </c>
      <c r="N181" s="189">
        <f t="shared" si="49"/>
        <v>1338.6868160880465</v>
      </c>
      <c r="O181" s="188">
        <v>0</v>
      </c>
      <c r="P181" s="188">
        <v>0</v>
      </c>
      <c r="Q181" s="188">
        <v>0</v>
      </c>
      <c r="R181" s="189">
        <f t="shared" si="50"/>
        <v>1338.6868160880465</v>
      </c>
    </row>
    <row r="182" spans="1:18" x14ac:dyDescent="0.25">
      <c r="A182" s="110">
        <v>7</v>
      </c>
      <c r="B182" s="181">
        <f t="shared" si="45"/>
        <v>45108</v>
      </c>
      <c r="C182" s="201">
        <f t="shared" si="55"/>
        <v>45141</v>
      </c>
      <c r="D182" s="201">
        <f t="shared" si="55"/>
        <v>45162</v>
      </c>
      <c r="E182" s="52" t="s">
        <v>56</v>
      </c>
      <c r="F182" s="146">
        <v>9</v>
      </c>
      <c r="G182" s="183">
        <v>38</v>
      </c>
      <c r="H182" s="184">
        <f t="shared" si="46"/>
        <v>1716.58</v>
      </c>
      <c r="I182" s="184">
        <f t="shared" si="57"/>
        <v>1750.02</v>
      </c>
      <c r="J182" s="185">
        <f t="shared" si="47"/>
        <v>66500.759999999995</v>
      </c>
      <c r="K182" s="192">
        <f t="shared" si="41"/>
        <v>65230.039999999994</v>
      </c>
      <c r="L182" s="191">
        <f t="shared" si="56"/>
        <v>1270.7200000000012</v>
      </c>
      <c r="M182" s="188">
        <f t="shared" si="48"/>
        <v>104.1475408471841</v>
      </c>
      <c r="N182" s="189">
        <f t="shared" si="49"/>
        <v>1374.8675408471852</v>
      </c>
      <c r="O182" s="188">
        <v>0</v>
      </c>
      <c r="P182" s="188">
        <v>0</v>
      </c>
      <c r="Q182" s="188">
        <v>0</v>
      </c>
      <c r="R182" s="189">
        <f t="shared" si="50"/>
        <v>1374.8675408471852</v>
      </c>
    </row>
    <row r="183" spans="1:18" x14ac:dyDescent="0.25">
      <c r="A183" s="146">
        <v>8</v>
      </c>
      <c r="B183" s="181">
        <f t="shared" si="45"/>
        <v>45139</v>
      </c>
      <c r="C183" s="201">
        <f t="shared" si="55"/>
        <v>45174</v>
      </c>
      <c r="D183" s="201">
        <f t="shared" si="55"/>
        <v>45194</v>
      </c>
      <c r="E183" s="52" t="s">
        <v>56</v>
      </c>
      <c r="F183" s="146">
        <v>9</v>
      </c>
      <c r="G183" s="183">
        <v>40</v>
      </c>
      <c r="H183" s="184">
        <f t="shared" si="46"/>
        <v>1716.58</v>
      </c>
      <c r="I183" s="184">
        <f t="shared" si="57"/>
        <v>1750.02</v>
      </c>
      <c r="J183" s="185">
        <f t="shared" si="47"/>
        <v>70000.800000000003</v>
      </c>
      <c r="K183" s="192">
        <f t="shared" si="41"/>
        <v>68663.199999999997</v>
      </c>
      <c r="L183" s="191">
        <f t="shared" si="56"/>
        <v>1337.6000000000058</v>
      </c>
      <c r="M183" s="188">
        <f t="shared" si="48"/>
        <v>109.62899036545696</v>
      </c>
      <c r="N183" s="189">
        <f t="shared" si="49"/>
        <v>1447.2289903654628</v>
      </c>
      <c r="O183" s="188">
        <v>0</v>
      </c>
      <c r="P183" s="188">
        <v>0</v>
      </c>
      <c r="Q183" s="188">
        <v>0</v>
      </c>
      <c r="R183" s="189">
        <f t="shared" si="50"/>
        <v>1447.2289903654628</v>
      </c>
    </row>
    <row r="184" spans="1:18" x14ac:dyDescent="0.25">
      <c r="A184" s="146">
        <v>9</v>
      </c>
      <c r="B184" s="181">
        <f t="shared" si="45"/>
        <v>45170</v>
      </c>
      <c r="C184" s="201">
        <f t="shared" si="55"/>
        <v>45203</v>
      </c>
      <c r="D184" s="201">
        <f t="shared" si="55"/>
        <v>45223</v>
      </c>
      <c r="E184" s="52" t="s">
        <v>56</v>
      </c>
      <c r="F184" s="146">
        <v>9</v>
      </c>
      <c r="G184" s="183">
        <v>37</v>
      </c>
      <c r="H184" s="184">
        <f t="shared" si="46"/>
        <v>1716.58</v>
      </c>
      <c r="I184" s="184">
        <f t="shared" si="57"/>
        <v>1750.02</v>
      </c>
      <c r="J184" s="185">
        <f t="shared" si="47"/>
        <v>64750.74</v>
      </c>
      <c r="K184" s="192">
        <f t="shared" si="41"/>
        <v>63513.46</v>
      </c>
      <c r="L184" s="191">
        <f t="shared" si="56"/>
        <v>1237.2799999999988</v>
      </c>
      <c r="M184" s="188">
        <f t="shared" si="48"/>
        <v>101.40681608804768</v>
      </c>
      <c r="N184" s="189">
        <f t="shared" si="49"/>
        <v>1338.6868160880465</v>
      </c>
      <c r="O184" s="188">
        <v>0</v>
      </c>
      <c r="P184" s="188">
        <v>0</v>
      </c>
      <c r="Q184" s="188">
        <v>0</v>
      </c>
      <c r="R184" s="189">
        <f t="shared" si="50"/>
        <v>1338.6868160880465</v>
      </c>
    </row>
    <row r="185" spans="1:18" x14ac:dyDescent="0.25">
      <c r="A185" s="110">
        <v>10</v>
      </c>
      <c r="B185" s="181">
        <f t="shared" si="45"/>
        <v>45200</v>
      </c>
      <c r="C185" s="201">
        <f t="shared" si="55"/>
        <v>45233</v>
      </c>
      <c r="D185" s="201">
        <f t="shared" si="55"/>
        <v>45254</v>
      </c>
      <c r="E185" s="52" t="s">
        <v>56</v>
      </c>
      <c r="F185" s="146">
        <v>9</v>
      </c>
      <c r="G185" s="183">
        <v>30</v>
      </c>
      <c r="H185" s="184">
        <f t="shared" si="46"/>
        <v>1716.58</v>
      </c>
      <c r="I185" s="184">
        <f t="shared" si="57"/>
        <v>1750.02</v>
      </c>
      <c r="J185" s="185">
        <f t="shared" si="47"/>
        <v>52500.6</v>
      </c>
      <c r="K185" s="192">
        <f t="shared" si="41"/>
        <v>51497.399999999994</v>
      </c>
      <c r="L185" s="191">
        <f t="shared" si="56"/>
        <v>1003.2000000000044</v>
      </c>
      <c r="M185" s="188">
        <f t="shared" si="48"/>
        <v>82.221742774092704</v>
      </c>
      <c r="N185" s="189">
        <f t="shared" si="49"/>
        <v>1085.4217427740971</v>
      </c>
      <c r="O185" s="188">
        <v>0</v>
      </c>
      <c r="P185" s="188">
        <v>0</v>
      </c>
      <c r="Q185" s="188">
        <v>0</v>
      </c>
      <c r="R185" s="189">
        <f t="shared" si="50"/>
        <v>1085.4217427740971</v>
      </c>
    </row>
    <row r="186" spans="1:18" x14ac:dyDescent="0.25">
      <c r="A186" s="146">
        <v>11</v>
      </c>
      <c r="B186" s="181">
        <f t="shared" si="45"/>
        <v>45231</v>
      </c>
      <c r="C186" s="201">
        <f t="shared" si="55"/>
        <v>45266</v>
      </c>
      <c r="D186" s="201">
        <f t="shared" si="55"/>
        <v>45285</v>
      </c>
      <c r="E186" s="52" t="s">
        <v>56</v>
      </c>
      <c r="F186" s="146">
        <v>9</v>
      </c>
      <c r="G186" s="183">
        <v>19</v>
      </c>
      <c r="H186" s="184">
        <f t="shared" si="46"/>
        <v>1716.58</v>
      </c>
      <c r="I186" s="184">
        <f t="shared" si="57"/>
        <v>1750.02</v>
      </c>
      <c r="J186" s="185">
        <f t="shared" si="47"/>
        <v>33250.379999999997</v>
      </c>
      <c r="K186" s="192">
        <f t="shared" si="41"/>
        <v>32615.019999999997</v>
      </c>
      <c r="L186" s="191">
        <f t="shared" si="56"/>
        <v>635.36000000000058</v>
      </c>
      <c r="M186" s="188">
        <f t="shared" si="48"/>
        <v>52.073770423592052</v>
      </c>
      <c r="N186" s="189">
        <f t="shared" si="49"/>
        <v>687.43377042359259</v>
      </c>
      <c r="O186" s="188">
        <v>0</v>
      </c>
      <c r="P186" s="188">
        <v>0</v>
      </c>
      <c r="Q186" s="188">
        <v>0</v>
      </c>
      <c r="R186" s="189">
        <f t="shared" si="50"/>
        <v>687.43377042359259</v>
      </c>
    </row>
    <row r="187" spans="1:18" s="205" customFormat="1" x14ac:dyDescent="0.25">
      <c r="A187" s="146">
        <v>12</v>
      </c>
      <c r="B187" s="203">
        <f t="shared" si="45"/>
        <v>45261</v>
      </c>
      <c r="C187" s="201">
        <f t="shared" si="55"/>
        <v>45294</v>
      </c>
      <c r="D187" s="201">
        <f t="shared" si="55"/>
        <v>45315</v>
      </c>
      <c r="E187" s="204" t="s">
        <v>56</v>
      </c>
      <c r="F187" s="157">
        <v>9</v>
      </c>
      <c r="G187" s="183">
        <v>20</v>
      </c>
      <c r="H187" s="193">
        <f t="shared" si="46"/>
        <v>1716.58</v>
      </c>
      <c r="I187" s="193">
        <f t="shared" si="57"/>
        <v>1750.02</v>
      </c>
      <c r="J187" s="194">
        <f t="shared" si="47"/>
        <v>35000.400000000001</v>
      </c>
      <c r="K187" s="195">
        <f t="shared" si="41"/>
        <v>34331.599999999999</v>
      </c>
      <c r="L187" s="196">
        <f t="shared" si="56"/>
        <v>668.80000000000291</v>
      </c>
      <c r="M187" s="188">
        <f t="shared" si="48"/>
        <v>54.814495182728479</v>
      </c>
      <c r="N187" s="189">
        <f t="shared" si="49"/>
        <v>723.61449518273139</v>
      </c>
      <c r="O187" s="188">
        <v>0</v>
      </c>
      <c r="P187" s="188">
        <v>0</v>
      </c>
      <c r="Q187" s="188">
        <v>0</v>
      </c>
      <c r="R187" s="189">
        <f t="shared" si="50"/>
        <v>723.61449518273139</v>
      </c>
    </row>
    <row r="188" spans="1:18" x14ac:dyDescent="0.25">
      <c r="A188" s="110">
        <v>1</v>
      </c>
      <c r="B188" s="181">
        <f t="shared" si="45"/>
        <v>44927</v>
      </c>
      <c r="C188" s="198">
        <f t="shared" ref="C188:D211" si="58">+C176</f>
        <v>44960</v>
      </c>
      <c r="D188" s="198">
        <f t="shared" si="58"/>
        <v>44981</v>
      </c>
      <c r="E188" s="182" t="s">
        <v>57</v>
      </c>
      <c r="F188" s="110">
        <v>9</v>
      </c>
      <c r="G188" s="183">
        <v>36</v>
      </c>
      <c r="H188" s="184">
        <f t="shared" si="46"/>
        <v>1716.58</v>
      </c>
      <c r="I188" s="184">
        <f t="shared" si="57"/>
        <v>1750.02</v>
      </c>
      <c r="J188" s="185">
        <f t="shared" si="47"/>
        <v>63000.72</v>
      </c>
      <c r="K188" s="186">
        <f t="shared" si="41"/>
        <v>61796.88</v>
      </c>
      <c r="L188" s="187">
        <f t="shared" si="56"/>
        <v>1203.8400000000038</v>
      </c>
      <c r="M188" s="188">
        <f t="shared" si="48"/>
        <v>98.66609132891125</v>
      </c>
      <c r="N188" s="189">
        <f t="shared" si="49"/>
        <v>1302.5060913289151</v>
      </c>
      <c r="O188" s="188">
        <v>0</v>
      </c>
      <c r="P188" s="188">
        <v>0</v>
      </c>
      <c r="Q188" s="188">
        <v>0</v>
      </c>
      <c r="R188" s="189">
        <f t="shared" si="50"/>
        <v>1302.5060913289151</v>
      </c>
    </row>
    <row r="189" spans="1:18" x14ac:dyDescent="0.25">
      <c r="A189" s="146">
        <v>2</v>
      </c>
      <c r="B189" s="181">
        <f t="shared" si="45"/>
        <v>44958</v>
      </c>
      <c r="C189" s="201">
        <f t="shared" si="58"/>
        <v>44988</v>
      </c>
      <c r="D189" s="201">
        <f t="shared" si="58"/>
        <v>45009</v>
      </c>
      <c r="E189" s="190" t="s">
        <v>57</v>
      </c>
      <c r="F189" s="146">
        <v>9</v>
      </c>
      <c r="G189" s="183">
        <v>32</v>
      </c>
      <c r="H189" s="184">
        <f t="shared" si="46"/>
        <v>1716.58</v>
      </c>
      <c r="I189" s="184">
        <f t="shared" si="57"/>
        <v>1750.02</v>
      </c>
      <c r="J189" s="185">
        <f t="shared" si="47"/>
        <v>56000.639999999999</v>
      </c>
      <c r="K189" s="186">
        <f t="shared" si="41"/>
        <v>54930.559999999998</v>
      </c>
      <c r="L189" s="187">
        <f t="shared" si="56"/>
        <v>1070.0800000000017</v>
      </c>
      <c r="M189" s="188">
        <f t="shared" si="48"/>
        <v>87.703192292365557</v>
      </c>
      <c r="N189" s="189">
        <f t="shared" si="49"/>
        <v>1157.7831922923674</v>
      </c>
      <c r="O189" s="188">
        <v>0</v>
      </c>
      <c r="P189" s="188">
        <v>0</v>
      </c>
      <c r="Q189" s="188">
        <v>0</v>
      </c>
      <c r="R189" s="189">
        <f t="shared" si="50"/>
        <v>1157.7831922923674</v>
      </c>
    </row>
    <row r="190" spans="1:18" x14ac:dyDescent="0.25">
      <c r="A190" s="146">
        <v>3</v>
      </c>
      <c r="B190" s="181">
        <f t="shared" si="45"/>
        <v>44986</v>
      </c>
      <c r="C190" s="201">
        <f t="shared" si="58"/>
        <v>45021</v>
      </c>
      <c r="D190" s="201">
        <f t="shared" si="58"/>
        <v>45040</v>
      </c>
      <c r="E190" s="190" t="s">
        <v>57</v>
      </c>
      <c r="F190" s="146">
        <v>9</v>
      </c>
      <c r="G190" s="183">
        <v>32</v>
      </c>
      <c r="H190" s="184">
        <f t="shared" si="46"/>
        <v>1716.58</v>
      </c>
      <c r="I190" s="184">
        <f t="shared" si="57"/>
        <v>1750.02</v>
      </c>
      <c r="J190" s="185">
        <f t="shared" si="47"/>
        <v>56000.639999999999</v>
      </c>
      <c r="K190" s="186">
        <f t="shared" si="41"/>
        <v>54930.559999999998</v>
      </c>
      <c r="L190" s="187">
        <f>+J190-K190</f>
        <v>1070.0800000000017</v>
      </c>
      <c r="M190" s="188">
        <f t="shared" si="48"/>
        <v>87.703192292365557</v>
      </c>
      <c r="N190" s="189">
        <f t="shared" si="49"/>
        <v>1157.7831922923674</v>
      </c>
      <c r="O190" s="188">
        <v>0</v>
      </c>
      <c r="P190" s="188">
        <v>0</v>
      </c>
      <c r="Q190" s="188">
        <v>0</v>
      </c>
      <c r="R190" s="189">
        <f t="shared" si="50"/>
        <v>1157.7831922923674</v>
      </c>
    </row>
    <row r="191" spans="1:18" x14ac:dyDescent="0.25">
      <c r="A191" s="110">
        <v>4</v>
      </c>
      <c r="B191" s="181">
        <f t="shared" si="45"/>
        <v>45017</v>
      </c>
      <c r="C191" s="201">
        <f t="shared" si="58"/>
        <v>45049</v>
      </c>
      <c r="D191" s="201">
        <f t="shared" si="58"/>
        <v>45070</v>
      </c>
      <c r="E191" s="52" t="s">
        <v>57</v>
      </c>
      <c r="F191" s="146">
        <v>9</v>
      </c>
      <c r="G191" s="183">
        <v>31</v>
      </c>
      <c r="H191" s="184">
        <f t="shared" si="46"/>
        <v>1716.58</v>
      </c>
      <c r="I191" s="184">
        <f t="shared" si="57"/>
        <v>1750.02</v>
      </c>
      <c r="J191" s="185">
        <f t="shared" si="47"/>
        <v>54250.62</v>
      </c>
      <c r="K191" s="186">
        <f t="shared" si="41"/>
        <v>53213.979999999996</v>
      </c>
      <c r="L191" s="187">
        <f t="shared" ref="L191:L201" si="59">+J191-K191</f>
        <v>1036.6400000000067</v>
      </c>
      <c r="M191" s="188">
        <f t="shared" si="48"/>
        <v>84.96246753322913</v>
      </c>
      <c r="N191" s="189">
        <f t="shared" si="49"/>
        <v>1121.6024675332358</v>
      </c>
      <c r="O191" s="188">
        <v>0</v>
      </c>
      <c r="P191" s="188">
        <v>0</v>
      </c>
      <c r="Q191" s="188">
        <v>0</v>
      </c>
      <c r="R191" s="189">
        <f t="shared" si="50"/>
        <v>1121.6024675332358</v>
      </c>
    </row>
    <row r="192" spans="1:18" x14ac:dyDescent="0.25">
      <c r="A192" s="146">
        <v>5</v>
      </c>
      <c r="B192" s="181">
        <f t="shared" si="45"/>
        <v>45047</v>
      </c>
      <c r="C192" s="201">
        <f t="shared" si="58"/>
        <v>45082</v>
      </c>
      <c r="D192" s="201">
        <f t="shared" si="58"/>
        <v>45103</v>
      </c>
      <c r="E192" s="52" t="s">
        <v>57</v>
      </c>
      <c r="F192" s="146">
        <v>9</v>
      </c>
      <c r="G192" s="183">
        <v>38</v>
      </c>
      <c r="H192" s="184">
        <f t="shared" si="46"/>
        <v>1716.58</v>
      </c>
      <c r="I192" s="184">
        <f t="shared" si="57"/>
        <v>1750.02</v>
      </c>
      <c r="J192" s="185">
        <f t="shared" si="47"/>
        <v>66500.759999999995</v>
      </c>
      <c r="K192" s="186">
        <f t="shared" si="41"/>
        <v>65230.039999999994</v>
      </c>
      <c r="L192" s="187">
        <f t="shared" si="59"/>
        <v>1270.7200000000012</v>
      </c>
      <c r="M192" s="188">
        <f t="shared" si="48"/>
        <v>104.1475408471841</v>
      </c>
      <c r="N192" s="189">
        <f t="shared" si="49"/>
        <v>1374.8675408471852</v>
      </c>
      <c r="O192" s="188">
        <v>0</v>
      </c>
      <c r="P192" s="188">
        <v>0</v>
      </c>
      <c r="Q192" s="188">
        <v>0</v>
      </c>
      <c r="R192" s="189">
        <f t="shared" si="50"/>
        <v>1374.8675408471852</v>
      </c>
    </row>
    <row r="193" spans="1:18" x14ac:dyDescent="0.25">
      <c r="A193" s="146">
        <v>6</v>
      </c>
      <c r="B193" s="181">
        <f t="shared" si="45"/>
        <v>45078</v>
      </c>
      <c r="C193" s="201">
        <f t="shared" si="58"/>
        <v>45112</v>
      </c>
      <c r="D193" s="201">
        <f t="shared" si="58"/>
        <v>45131</v>
      </c>
      <c r="E193" s="52" t="s">
        <v>57</v>
      </c>
      <c r="F193" s="146">
        <v>9</v>
      </c>
      <c r="G193" s="183">
        <v>48</v>
      </c>
      <c r="H193" s="184">
        <f t="shared" si="46"/>
        <v>1716.58</v>
      </c>
      <c r="I193" s="184">
        <f t="shared" si="57"/>
        <v>1750.02</v>
      </c>
      <c r="J193" s="185">
        <f t="shared" si="47"/>
        <v>84000.959999999992</v>
      </c>
      <c r="K193" s="186">
        <f t="shared" si="41"/>
        <v>82395.839999999997</v>
      </c>
      <c r="L193" s="191">
        <f t="shared" si="59"/>
        <v>1605.1199999999953</v>
      </c>
      <c r="M193" s="188">
        <f t="shared" si="48"/>
        <v>131.55478843854834</v>
      </c>
      <c r="N193" s="189">
        <f t="shared" si="49"/>
        <v>1736.6747884385436</v>
      </c>
      <c r="O193" s="188">
        <v>0</v>
      </c>
      <c r="P193" s="188">
        <v>0</v>
      </c>
      <c r="Q193" s="188">
        <v>0</v>
      </c>
      <c r="R193" s="189">
        <f t="shared" si="50"/>
        <v>1736.6747884385436</v>
      </c>
    </row>
    <row r="194" spans="1:18" x14ac:dyDescent="0.25">
      <c r="A194" s="110">
        <v>7</v>
      </c>
      <c r="B194" s="181">
        <f t="shared" si="45"/>
        <v>45108</v>
      </c>
      <c r="C194" s="201">
        <f t="shared" si="58"/>
        <v>45141</v>
      </c>
      <c r="D194" s="201">
        <f t="shared" si="58"/>
        <v>45162</v>
      </c>
      <c r="E194" s="52" t="s">
        <v>57</v>
      </c>
      <c r="F194" s="146">
        <v>9</v>
      </c>
      <c r="G194" s="183">
        <v>49</v>
      </c>
      <c r="H194" s="184">
        <f t="shared" si="46"/>
        <v>1716.58</v>
      </c>
      <c r="I194" s="184">
        <f t="shared" si="57"/>
        <v>1750.02</v>
      </c>
      <c r="J194" s="185">
        <f t="shared" si="47"/>
        <v>85750.98</v>
      </c>
      <c r="K194" s="192">
        <f t="shared" si="41"/>
        <v>84112.42</v>
      </c>
      <c r="L194" s="191">
        <f t="shared" si="59"/>
        <v>1638.5599999999977</v>
      </c>
      <c r="M194" s="188">
        <f t="shared" si="48"/>
        <v>134.29551319768476</v>
      </c>
      <c r="N194" s="189">
        <f t="shared" si="49"/>
        <v>1772.8555131976825</v>
      </c>
      <c r="O194" s="188">
        <v>0</v>
      </c>
      <c r="P194" s="188">
        <v>0</v>
      </c>
      <c r="Q194" s="188">
        <v>0</v>
      </c>
      <c r="R194" s="189">
        <f t="shared" si="50"/>
        <v>1772.8555131976825</v>
      </c>
    </row>
    <row r="195" spans="1:18" x14ac:dyDescent="0.25">
      <c r="A195" s="146">
        <v>8</v>
      </c>
      <c r="B195" s="181">
        <f t="shared" si="45"/>
        <v>45139</v>
      </c>
      <c r="C195" s="201">
        <f t="shared" si="58"/>
        <v>45174</v>
      </c>
      <c r="D195" s="201">
        <f t="shared" si="58"/>
        <v>45194</v>
      </c>
      <c r="E195" s="52" t="s">
        <v>57</v>
      </c>
      <c r="F195" s="146">
        <v>9</v>
      </c>
      <c r="G195" s="183">
        <v>50</v>
      </c>
      <c r="H195" s="184">
        <f t="shared" si="46"/>
        <v>1716.58</v>
      </c>
      <c r="I195" s="184">
        <f t="shared" si="57"/>
        <v>1750.02</v>
      </c>
      <c r="J195" s="185">
        <f t="shared" si="47"/>
        <v>87501</v>
      </c>
      <c r="K195" s="192">
        <f t="shared" si="41"/>
        <v>85829</v>
      </c>
      <c r="L195" s="191">
        <f t="shared" si="59"/>
        <v>1672</v>
      </c>
      <c r="M195" s="188">
        <f t="shared" si="48"/>
        <v>137.03623795682117</v>
      </c>
      <c r="N195" s="189">
        <f t="shared" si="49"/>
        <v>1809.0362379568212</v>
      </c>
      <c r="O195" s="188">
        <v>0</v>
      </c>
      <c r="P195" s="188">
        <v>0</v>
      </c>
      <c r="Q195" s="188">
        <v>0</v>
      </c>
      <c r="R195" s="189">
        <f t="shared" si="50"/>
        <v>1809.0362379568212</v>
      </c>
    </row>
    <row r="196" spans="1:18" x14ac:dyDescent="0.25">
      <c r="A196" s="146">
        <v>9</v>
      </c>
      <c r="B196" s="181">
        <f t="shared" si="45"/>
        <v>45170</v>
      </c>
      <c r="C196" s="201">
        <f t="shared" si="58"/>
        <v>45203</v>
      </c>
      <c r="D196" s="201">
        <f t="shared" si="58"/>
        <v>45223</v>
      </c>
      <c r="E196" s="52" t="s">
        <v>57</v>
      </c>
      <c r="F196" s="146">
        <v>9</v>
      </c>
      <c r="G196" s="183">
        <v>47</v>
      </c>
      <c r="H196" s="184">
        <f t="shared" si="46"/>
        <v>1716.58</v>
      </c>
      <c r="I196" s="184">
        <f t="shared" si="57"/>
        <v>1750.02</v>
      </c>
      <c r="J196" s="185">
        <f t="shared" si="47"/>
        <v>82250.94</v>
      </c>
      <c r="K196" s="192">
        <f t="shared" si="41"/>
        <v>80679.259999999995</v>
      </c>
      <c r="L196" s="191">
        <f t="shared" si="59"/>
        <v>1571.6800000000076</v>
      </c>
      <c r="M196" s="188">
        <f t="shared" si="48"/>
        <v>128.8140636794119</v>
      </c>
      <c r="N196" s="189">
        <f t="shared" si="49"/>
        <v>1700.4940636794195</v>
      </c>
      <c r="O196" s="188">
        <v>0</v>
      </c>
      <c r="P196" s="188">
        <v>0</v>
      </c>
      <c r="Q196" s="188">
        <v>0</v>
      </c>
      <c r="R196" s="189">
        <f t="shared" si="50"/>
        <v>1700.4940636794195</v>
      </c>
    </row>
    <row r="197" spans="1:18" x14ac:dyDescent="0.25">
      <c r="A197" s="110">
        <v>10</v>
      </c>
      <c r="B197" s="181">
        <f t="shared" si="45"/>
        <v>45200</v>
      </c>
      <c r="C197" s="201">
        <f t="shared" si="58"/>
        <v>45233</v>
      </c>
      <c r="D197" s="201">
        <f t="shared" si="58"/>
        <v>45254</v>
      </c>
      <c r="E197" s="52" t="s">
        <v>57</v>
      </c>
      <c r="F197" s="146">
        <v>9</v>
      </c>
      <c r="G197" s="183">
        <v>36</v>
      </c>
      <c r="H197" s="184">
        <f t="shared" si="46"/>
        <v>1716.58</v>
      </c>
      <c r="I197" s="184">
        <f t="shared" si="57"/>
        <v>1750.02</v>
      </c>
      <c r="J197" s="185">
        <f t="shared" si="47"/>
        <v>63000.72</v>
      </c>
      <c r="K197" s="192">
        <f t="shared" si="41"/>
        <v>61796.88</v>
      </c>
      <c r="L197" s="191">
        <f t="shared" si="59"/>
        <v>1203.8400000000038</v>
      </c>
      <c r="M197" s="188">
        <f t="shared" si="48"/>
        <v>98.66609132891125</v>
      </c>
      <c r="N197" s="189">
        <f t="shared" si="49"/>
        <v>1302.5060913289151</v>
      </c>
      <c r="O197" s="188">
        <v>0</v>
      </c>
      <c r="P197" s="188">
        <v>0</v>
      </c>
      <c r="Q197" s="188">
        <v>0</v>
      </c>
      <c r="R197" s="189">
        <f t="shared" si="50"/>
        <v>1302.5060913289151</v>
      </c>
    </row>
    <row r="198" spans="1:18" x14ac:dyDescent="0.25">
      <c r="A198" s="146">
        <v>11</v>
      </c>
      <c r="B198" s="181">
        <f t="shared" si="45"/>
        <v>45231</v>
      </c>
      <c r="C198" s="201">
        <f t="shared" si="58"/>
        <v>45266</v>
      </c>
      <c r="D198" s="201">
        <f t="shared" si="58"/>
        <v>45285</v>
      </c>
      <c r="E198" s="52" t="s">
        <v>57</v>
      </c>
      <c r="F198" s="146">
        <v>9</v>
      </c>
      <c r="G198" s="183">
        <v>26</v>
      </c>
      <c r="H198" s="184">
        <f t="shared" si="46"/>
        <v>1716.58</v>
      </c>
      <c r="I198" s="184">
        <f t="shared" si="57"/>
        <v>1750.02</v>
      </c>
      <c r="J198" s="185">
        <f t="shared" si="47"/>
        <v>45500.52</v>
      </c>
      <c r="K198" s="192">
        <f t="shared" ref="K198:K209" si="60">+$G198*H198</f>
        <v>44631.08</v>
      </c>
      <c r="L198" s="191">
        <f t="shared" si="59"/>
        <v>869.43999999999505</v>
      </c>
      <c r="M198" s="188">
        <f t="shared" si="48"/>
        <v>71.258843737547011</v>
      </c>
      <c r="N198" s="189">
        <f t="shared" si="49"/>
        <v>940.69884373754212</v>
      </c>
      <c r="O198" s="188">
        <v>0</v>
      </c>
      <c r="P198" s="188">
        <v>0</v>
      </c>
      <c r="Q198" s="188">
        <v>0</v>
      </c>
      <c r="R198" s="189">
        <f t="shared" si="50"/>
        <v>940.69884373754212</v>
      </c>
    </row>
    <row r="199" spans="1:18" s="205" customFormat="1" x14ac:dyDescent="0.25">
      <c r="A199" s="146">
        <v>12</v>
      </c>
      <c r="B199" s="203">
        <f t="shared" si="45"/>
        <v>45261</v>
      </c>
      <c r="C199" s="201">
        <f t="shared" si="58"/>
        <v>45294</v>
      </c>
      <c r="D199" s="201">
        <f t="shared" si="58"/>
        <v>45315</v>
      </c>
      <c r="E199" s="204" t="s">
        <v>57</v>
      </c>
      <c r="F199" s="157">
        <v>9</v>
      </c>
      <c r="G199" s="183">
        <v>31</v>
      </c>
      <c r="H199" s="193">
        <f t="shared" si="46"/>
        <v>1716.58</v>
      </c>
      <c r="I199" s="193">
        <f t="shared" si="57"/>
        <v>1750.02</v>
      </c>
      <c r="J199" s="194">
        <f t="shared" si="47"/>
        <v>54250.62</v>
      </c>
      <c r="K199" s="195">
        <f t="shared" si="60"/>
        <v>53213.979999999996</v>
      </c>
      <c r="L199" s="196">
        <f t="shared" si="59"/>
        <v>1036.6400000000067</v>
      </c>
      <c r="M199" s="188">
        <f t="shared" si="48"/>
        <v>84.96246753322913</v>
      </c>
      <c r="N199" s="189">
        <f t="shared" si="49"/>
        <v>1121.6024675332358</v>
      </c>
      <c r="O199" s="188">
        <v>0</v>
      </c>
      <c r="P199" s="188">
        <v>0</v>
      </c>
      <c r="Q199" s="188">
        <v>0</v>
      </c>
      <c r="R199" s="189">
        <f t="shared" si="50"/>
        <v>1121.6024675332358</v>
      </c>
    </row>
    <row r="200" spans="1:18" x14ac:dyDescent="0.25">
      <c r="A200" s="110">
        <v>1</v>
      </c>
      <c r="B200" s="181">
        <f t="shared" si="45"/>
        <v>44927</v>
      </c>
      <c r="C200" s="198">
        <f t="shared" si="58"/>
        <v>44960</v>
      </c>
      <c r="D200" s="198">
        <f t="shared" si="58"/>
        <v>44981</v>
      </c>
      <c r="E200" s="182" t="s">
        <v>17</v>
      </c>
      <c r="F200" s="110">
        <v>9</v>
      </c>
      <c r="G200" s="183">
        <v>104</v>
      </c>
      <c r="H200" s="184">
        <f t="shared" si="46"/>
        <v>1716.58</v>
      </c>
      <c r="I200" s="184">
        <f t="shared" si="57"/>
        <v>1750.02</v>
      </c>
      <c r="J200" s="185">
        <f t="shared" si="47"/>
        <v>182002.08</v>
      </c>
      <c r="K200" s="186">
        <f t="shared" si="60"/>
        <v>178524.32</v>
      </c>
      <c r="L200" s="187">
        <f t="shared" si="59"/>
        <v>3477.7599999999802</v>
      </c>
      <c r="M200" s="188">
        <f t="shared" si="48"/>
        <v>285.03537495018804</v>
      </c>
      <c r="N200" s="189">
        <f t="shared" si="49"/>
        <v>3762.7953749501685</v>
      </c>
      <c r="O200" s="188">
        <v>0</v>
      </c>
      <c r="P200" s="188">
        <v>0</v>
      </c>
      <c r="Q200" s="188">
        <v>0</v>
      </c>
      <c r="R200" s="189">
        <f t="shared" si="50"/>
        <v>3762.7953749501685</v>
      </c>
    </row>
    <row r="201" spans="1:18" x14ac:dyDescent="0.25">
      <c r="A201" s="146">
        <v>2</v>
      </c>
      <c r="B201" s="181">
        <f t="shared" si="45"/>
        <v>44958</v>
      </c>
      <c r="C201" s="201">
        <f t="shared" si="58"/>
        <v>44988</v>
      </c>
      <c r="D201" s="201">
        <f t="shared" si="58"/>
        <v>45009</v>
      </c>
      <c r="E201" s="190" t="s">
        <v>17</v>
      </c>
      <c r="F201" s="146">
        <v>9</v>
      </c>
      <c r="G201" s="183">
        <v>107</v>
      </c>
      <c r="H201" s="184">
        <f t="shared" si="46"/>
        <v>1716.58</v>
      </c>
      <c r="I201" s="184">
        <f t="shared" si="57"/>
        <v>1750.02</v>
      </c>
      <c r="J201" s="185">
        <f t="shared" si="47"/>
        <v>187252.13999999998</v>
      </c>
      <c r="K201" s="186">
        <f t="shared" si="60"/>
        <v>183674.06</v>
      </c>
      <c r="L201" s="187">
        <f t="shared" si="59"/>
        <v>3578.0799999999872</v>
      </c>
      <c r="M201" s="188">
        <f t="shared" si="48"/>
        <v>293.25754922759734</v>
      </c>
      <c r="N201" s="189">
        <f t="shared" si="49"/>
        <v>3871.3375492275845</v>
      </c>
      <c r="O201" s="188">
        <v>0</v>
      </c>
      <c r="P201" s="188">
        <v>0</v>
      </c>
      <c r="Q201" s="188">
        <v>0</v>
      </c>
      <c r="R201" s="189">
        <f t="shared" si="50"/>
        <v>3871.3375492275845</v>
      </c>
    </row>
    <row r="202" spans="1:18" x14ac:dyDescent="0.25">
      <c r="A202" s="146">
        <v>3</v>
      </c>
      <c r="B202" s="181">
        <f t="shared" si="45"/>
        <v>44986</v>
      </c>
      <c r="C202" s="201">
        <f t="shared" si="58"/>
        <v>45021</v>
      </c>
      <c r="D202" s="201">
        <f t="shared" si="58"/>
        <v>45040</v>
      </c>
      <c r="E202" s="190" t="s">
        <v>17</v>
      </c>
      <c r="F202" s="146">
        <v>9</v>
      </c>
      <c r="G202" s="183">
        <v>103</v>
      </c>
      <c r="H202" s="184">
        <f t="shared" si="46"/>
        <v>1716.58</v>
      </c>
      <c r="I202" s="184">
        <f t="shared" si="57"/>
        <v>1750.02</v>
      </c>
      <c r="J202" s="185">
        <f t="shared" si="47"/>
        <v>180252.06</v>
      </c>
      <c r="K202" s="186">
        <f t="shared" si="60"/>
        <v>176807.74</v>
      </c>
      <c r="L202" s="187">
        <f>+J202-K202</f>
        <v>3444.320000000007</v>
      </c>
      <c r="M202" s="188">
        <f t="shared" si="48"/>
        <v>282.29465019105163</v>
      </c>
      <c r="N202" s="189">
        <f t="shared" si="49"/>
        <v>3726.6146501910584</v>
      </c>
      <c r="O202" s="188">
        <v>0</v>
      </c>
      <c r="P202" s="188">
        <v>0</v>
      </c>
      <c r="Q202" s="188">
        <v>0</v>
      </c>
      <c r="R202" s="189">
        <f t="shared" si="50"/>
        <v>3726.6146501910584</v>
      </c>
    </row>
    <row r="203" spans="1:18" x14ac:dyDescent="0.25">
      <c r="A203" s="110">
        <v>4</v>
      </c>
      <c r="B203" s="181">
        <f t="shared" si="45"/>
        <v>45017</v>
      </c>
      <c r="C203" s="201">
        <f t="shared" si="58"/>
        <v>45049</v>
      </c>
      <c r="D203" s="201">
        <f t="shared" si="58"/>
        <v>45070</v>
      </c>
      <c r="E203" s="190" t="s">
        <v>17</v>
      </c>
      <c r="F203" s="146">
        <v>9</v>
      </c>
      <c r="G203" s="183">
        <v>98</v>
      </c>
      <c r="H203" s="184">
        <f t="shared" si="46"/>
        <v>1716.58</v>
      </c>
      <c r="I203" s="184">
        <f t="shared" si="57"/>
        <v>1750.02</v>
      </c>
      <c r="J203" s="185">
        <f t="shared" si="47"/>
        <v>171501.96</v>
      </c>
      <c r="K203" s="186">
        <f t="shared" si="60"/>
        <v>168224.84</v>
      </c>
      <c r="L203" s="187">
        <f t="shared" ref="L203:L211" si="61">+J203-K203</f>
        <v>3277.1199999999953</v>
      </c>
      <c r="M203" s="188">
        <f t="shared" si="48"/>
        <v>268.59102639536951</v>
      </c>
      <c r="N203" s="189">
        <f t="shared" si="49"/>
        <v>3545.711026395365</v>
      </c>
      <c r="O203" s="188">
        <v>0</v>
      </c>
      <c r="P203" s="188">
        <v>0</v>
      </c>
      <c r="Q203" s="188">
        <v>0</v>
      </c>
      <c r="R203" s="189">
        <f t="shared" si="50"/>
        <v>3545.711026395365</v>
      </c>
    </row>
    <row r="204" spans="1:18" x14ac:dyDescent="0.25">
      <c r="A204" s="146">
        <v>5</v>
      </c>
      <c r="B204" s="181">
        <f t="shared" si="45"/>
        <v>45047</v>
      </c>
      <c r="C204" s="201">
        <f t="shared" si="58"/>
        <v>45082</v>
      </c>
      <c r="D204" s="201">
        <f t="shared" si="58"/>
        <v>45103</v>
      </c>
      <c r="E204" s="52" t="s">
        <v>17</v>
      </c>
      <c r="F204" s="146">
        <v>9</v>
      </c>
      <c r="G204" s="183">
        <v>105</v>
      </c>
      <c r="H204" s="184">
        <f t="shared" si="46"/>
        <v>1716.58</v>
      </c>
      <c r="I204" s="184">
        <f t="shared" si="57"/>
        <v>1750.02</v>
      </c>
      <c r="J204" s="185">
        <f t="shared" si="47"/>
        <v>183752.1</v>
      </c>
      <c r="K204" s="186">
        <f t="shared" si="60"/>
        <v>180240.9</v>
      </c>
      <c r="L204" s="187">
        <f t="shared" si="61"/>
        <v>3511.2000000000116</v>
      </c>
      <c r="M204" s="188">
        <f t="shared" si="48"/>
        <v>287.77609970932451</v>
      </c>
      <c r="N204" s="189">
        <f t="shared" si="49"/>
        <v>3798.9760997093363</v>
      </c>
      <c r="O204" s="188">
        <v>0</v>
      </c>
      <c r="P204" s="188">
        <v>0</v>
      </c>
      <c r="Q204" s="188">
        <v>0</v>
      </c>
      <c r="R204" s="189">
        <f t="shared" si="50"/>
        <v>3798.9760997093363</v>
      </c>
    </row>
    <row r="205" spans="1:18" x14ac:dyDescent="0.25">
      <c r="A205" s="146">
        <v>6</v>
      </c>
      <c r="B205" s="181">
        <f t="shared" si="45"/>
        <v>45078</v>
      </c>
      <c r="C205" s="201">
        <f t="shared" si="58"/>
        <v>45112</v>
      </c>
      <c r="D205" s="201">
        <f t="shared" si="58"/>
        <v>45131</v>
      </c>
      <c r="E205" s="52" t="s">
        <v>17</v>
      </c>
      <c r="F205" s="146">
        <v>9</v>
      </c>
      <c r="G205" s="183">
        <v>115</v>
      </c>
      <c r="H205" s="184">
        <f t="shared" si="46"/>
        <v>1716.58</v>
      </c>
      <c r="I205" s="184">
        <f t="shared" si="57"/>
        <v>1750.02</v>
      </c>
      <c r="J205" s="185">
        <f t="shared" si="47"/>
        <v>201252.3</v>
      </c>
      <c r="K205" s="186">
        <f t="shared" si="60"/>
        <v>197406.69999999998</v>
      </c>
      <c r="L205" s="191">
        <f t="shared" si="61"/>
        <v>3845.6000000000058</v>
      </c>
      <c r="M205" s="188">
        <f t="shared" si="48"/>
        <v>315.18334730068869</v>
      </c>
      <c r="N205" s="189">
        <f t="shared" si="49"/>
        <v>4160.7833473006949</v>
      </c>
      <c r="O205" s="188">
        <v>0</v>
      </c>
      <c r="P205" s="188">
        <v>0</v>
      </c>
      <c r="Q205" s="188">
        <v>0</v>
      </c>
      <c r="R205" s="189">
        <f t="shared" si="50"/>
        <v>4160.7833473006949</v>
      </c>
    </row>
    <row r="206" spans="1:18" x14ac:dyDescent="0.25">
      <c r="A206" s="110">
        <v>7</v>
      </c>
      <c r="B206" s="181">
        <f t="shared" si="45"/>
        <v>45108</v>
      </c>
      <c r="C206" s="201">
        <f t="shared" si="58"/>
        <v>45141</v>
      </c>
      <c r="D206" s="201">
        <f t="shared" si="58"/>
        <v>45162</v>
      </c>
      <c r="E206" s="52" t="s">
        <v>17</v>
      </c>
      <c r="F206" s="146">
        <v>9</v>
      </c>
      <c r="G206" s="183">
        <v>110</v>
      </c>
      <c r="H206" s="184">
        <f t="shared" si="46"/>
        <v>1716.58</v>
      </c>
      <c r="I206" s="184">
        <f t="shared" si="57"/>
        <v>1750.02</v>
      </c>
      <c r="J206" s="185">
        <f t="shared" si="47"/>
        <v>192502.2</v>
      </c>
      <c r="K206" s="192">
        <f t="shared" si="60"/>
        <v>188823.8</v>
      </c>
      <c r="L206" s="191">
        <f t="shared" si="61"/>
        <v>3678.4000000000233</v>
      </c>
      <c r="M206" s="188">
        <f t="shared" si="48"/>
        <v>301.47972350500663</v>
      </c>
      <c r="N206" s="189">
        <f t="shared" si="49"/>
        <v>3979.8797235050297</v>
      </c>
      <c r="O206" s="188">
        <v>0</v>
      </c>
      <c r="P206" s="188">
        <v>0</v>
      </c>
      <c r="Q206" s="188">
        <v>0</v>
      </c>
      <c r="R206" s="189">
        <f t="shared" si="50"/>
        <v>3979.8797235050297</v>
      </c>
    </row>
    <row r="207" spans="1:18" x14ac:dyDescent="0.25">
      <c r="A207" s="146">
        <v>8</v>
      </c>
      <c r="B207" s="181">
        <f t="shared" si="45"/>
        <v>45139</v>
      </c>
      <c r="C207" s="201">
        <f t="shared" si="58"/>
        <v>45174</v>
      </c>
      <c r="D207" s="201">
        <f t="shared" si="58"/>
        <v>45194</v>
      </c>
      <c r="E207" s="52" t="s">
        <v>17</v>
      </c>
      <c r="F207" s="146">
        <v>9</v>
      </c>
      <c r="G207" s="183">
        <v>109</v>
      </c>
      <c r="H207" s="184">
        <f t="shared" si="46"/>
        <v>1716.58</v>
      </c>
      <c r="I207" s="184">
        <f t="shared" si="57"/>
        <v>1750.02</v>
      </c>
      <c r="J207" s="185">
        <f t="shared" si="47"/>
        <v>190752.18</v>
      </c>
      <c r="K207" s="192">
        <f t="shared" si="60"/>
        <v>187107.22</v>
      </c>
      <c r="L207" s="191">
        <f t="shared" si="61"/>
        <v>3644.9599999999919</v>
      </c>
      <c r="M207" s="188">
        <f t="shared" si="48"/>
        <v>298.73899874587016</v>
      </c>
      <c r="N207" s="189">
        <f t="shared" si="49"/>
        <v>3943.6989987458619</v>
      </c>
      <c r="O207" s="188">
        <v>0</v>
      </c>
      <c r="P207" s="188">
        <v>0</v>
      </c>
      <c r="Q207" s="188">
        <v>0</v>
      </c>
      <c r="R207" s="189">
        <f t="shared" si="50"/>
        <v>3943.6989987458619</v>
      </c>
    </row>
    <row r="208" spans="1:18" x14ac:dyDescent="0.25">
      <c r="A208" s="146">
        <v>9</v>
      </c>
      <c r="B208" s="181">
        <f t="shared" si="45"/>
        <v>45170</v>
      </c>
      <c r="C208" s="201">
        <f t="shared" si="58"/>
        <v>45203</v>
      </c>
      <c r="D208" s="201">
        <f t="shared" si="58"/>
        <v>45223</v>
      </c>
      <c r="E208" s="52" t="s">
        <v>17</v>
      </c>
      <c r="F208" s="146">
        <v>9</v>
      </c>
      <c r="G208" s="183">
        <v>112</v>
      </c>
      <c r="H208" s="184">
        <f t="shared" si="46"/>
        <v>1716.58</v>
      </c>
      <c r="I208" s="184">
        <f t="shared" si="57"/>
        <v>1750.02</v>
      </c>
      <c r="J208" s="185">
        <f t="shared" si="47"/>
        <v>196002.24</v>
      </c>
      <c r="K208" s="192">
        <f t="shared" si="60"/>
        <v>192256.96</v>
      </c>
      <c r="L208" s="191">
        <f t="shared" si="61"/>
        <v>3745.2799999999988</v>
      </c>
      <c r="M208" s="188">
        <f t="shared" si="48"/>
        <v>306.96117302327946</v>
      </c>
      <c r="N208" s="189">
        <f t="shared" si="49"/>
        <v>4052.2411730232784</v>
      </c>
      <c r="O208" s="188">
        <v>0</v>
      </c>
      <c r="P208" s="188">
        <v>0</v>
      </c>
      <c r="Q208" s="188">
        <v>0</v>
      </c>
      <c r="R208" s="189">
        <f t="shared" si="50"/>
        <v>4052.2411730232784</v>
      </c>
    </row>
    <row r="209" spans="1:18" x14ac:dyDescent="0.25">
      <c r="A209" s="110">
        <v>10</v>
      </c>
      <c r="B209" s="181">
        <f t="shared" si="45"/>
        <v>45200</v>
      </c>
      <c r="C209" s="201">
        <f t="shared" si="58"/>
        <v>45233</v>
      </c>
      <c r="D209" s="201">
        <f t="shared" si="58"/>
        <v>45254</v>
      </c>
      <c r="E209" s="52" t="s">
        <v>17</v>
      </c>
      <c r="F209" s="146">
        <v>9</v>
      </c>
      <c r="G209" s="183">
        <v>107</v>
      </c>
      <c r="H209" s="184">
        <f t="shared" si="46"/>
        <v>1716.58</v>
      </c>
      <c r="I209" s="184">
        <f t="shared" si="57"/>
        <v>1750.02</v>
      </c>
      <c r="J209" s="185">
        <f t="shared" si="47"/>
        <v>187252.13999999998</v>
      </c>
      <c r="K209" s="192">
        <f t="shared" si="60"/>
        <v>183674.06</v>
      </c>
      <c r="L209" s="191">
        <f t="shared" si="61"/>
        <v>3578.0799999999872</v>
      </c>
      <c r="M209" s="188">
        <f t="shared" si="48"/>
        <v>293.25754922759734</v>
      </c>
      <c r="N209" s="189">
        <f t="shared" si="49"/>
        <v>3871.3375492275845</v>
      </c>
      <c r="O209" s="188">
        <v>0</v>
      </c>
      <c r="P209" s="188">
        <v>0</v>
      </c>
      <c r="Q209" s="188">
        <v>0</v>
      </c>
      <c r="R209" s="189">
        <f t="shared" si="50"/>
        <v>3871.3375492275845</v>
      </c>
    </row>
    <row r="210" spans="1:18" x14ac:dyDescent="0.25">
      <c r="A210" s="146">
        <v>11</v>
      </c>
      <c r="B210" s="181">
        <f t="shared" si="45"/>
        <v>45231</v>
      </c>
      <c r="C210" s="201">
        <f t="shared" si="58"/>
        <v>45266</v>
      </c>
      <c r="D210" s="201">
        <f t="shared" si="58"/>
        <v>45285</v>
      </c>
      <c r="E210" s="52" t="s">
        <v>17</v>
      </c>
      <c r="F210" s="146">
        <v>9</v>
      </c>
      <c r="G210" s="183">
        <v>104</v>
      </c>
      <c r="H210" s="184">
        <f t="shared" si="46"/>
        <v>1716.58</v>
      </c>
      <c r="I210" s="184">
        <f t="shared" si="57"/>
        <v>1750.02</v>
      </c>
      <c r="J210" s="185">
        <f t="shared" si="47"/>
        <v>182002.08</v>
      </c>
      <c r="K210" s="192">
        <f>+$G210*H210</f>
        <v>178524.32</v>
      </c>
      <c r="L210" s="191">
        <f t="shared" si="61"/>
        <v>3477.7599999999802</v>
      </c>
      <c r="M210" s="188">
        <f t="shared" si="48"/>
        <v>285.03537495018804</v>
      </c>
      <c r="N210" s="189">
        <f t="shared" si="49"/>
        <v>3762.7953749501685</v>
      </c>
      <c r="O210" s="188">
        <v>0</v>
      </c>
      <c r="P210" s="188">
        <v>0</v>
      </c>
      <c r="Q210" s="188">
        <v>0</v>
      </c>
      <c r="R210" s="189">
        <f t="shared" si="50"/>
        <v>3762.7953749501685</v>
      </c>
    </row>
    <row r="211" spans="1:18" s="205" customFormat="1" x14ac:dyDescent="0.25">
      <c r="A211" s="146">
        <v>12</v>
      </c>
      <c r="B211" s="203">
        <f t="shared" si="45"/>
        <v>45261</v>
      </c>
      <c r="C211" s="206">
        <f t="shared" si="58"/>
        <v>45294</v>
      </c>
      <c r="D211" s="206">
        <f t="shared" si="58"/>
        <v>45315</v>
      </c>
      <c r="E211" s="204" t="s">
        <v>17</v>
      </c>
      <c r="F211" s="157">
        <v>9</v>
      </c>
      <c r="G211" s="183">
        <v>101</v>
      </c>
      <c r="H211" s="193">
        <f t="shared" si="46"/>
        <v>1716.58</v>
      </c>
      <c r="I211" s="193">
        <f t="shared" si="57"/>
        <v>1750.02</v>
      </c>
      <c r="J211" s="194">
        <f t="shared" si="47"/>
        <v>176752.02</v>
      </c>
      <c r="K211" s="195">
        <f>+$G211*H211</f>
        <v>173374.58</v>
      </c>
      <c r="L211" s="196">
        <f t="shared" si="61"/>
        <v>3377.4400000000023</v>
      </c>
      <c r="M211" s="194">
        <f t="shared" si="48"/>
        <v>276.81320067277881</v>
      </c>
      <c r="N211" s="189">
        <f t="shared" si="49"/>
        <v>3654.2532006727811</v>
      </c>
      <c r="O211" s="188">
        <v>0</v>
      </c>
      <c r="P211" s="188">
        <v>0</v>
      </c>
      <c r="Q211" s="188">
        <v>0</v>
      </c>
      <c r="R211" s="189">
        <f t="shared" si="50"/>
        <v>3654.2532006727811</v>
      </c>
    </row>
    <row r="212" spans="1:18" x14ac:dyDescent="0.25">
      <c r="G212" s="211">
        <f>SUM(G20:G211)</f>
        <v>102178</v>
      </c>
      <c r="H212" s="49"/>
      <c r="I212" s="49"/>
      <c r="J212" s="49">
        <f>SUM(J20:J211)</f>
        <v>178813543.55999976</v>
      </c>
      <c r="K212" s="49">
        <f>SUM(K20:K211)</f>
        <v>175396711.2400001</v>
      </c>
      <c r="L212" s="49">
        <f>SUM(L20:L211)</f>
        <v>3416832.3200000059</v>
      </c>
      <c r="M212" s="49">
        <f>SUM(M20:M211)</f>
        <v>280041.77443904191</v>
      </c>
      <c r="N212" s="49"/>
      <c r="O212" s="49"/>
      <c r="P212" s="49">
        <f>SUM(P20:P211)</f>
        <v>0</v>
      </c>
      <c r="Q212" s="49"/>
      <c r="R212" s="212">
        <f>SUM(R20:R211)</f>
        <v>3696874.0944390432</v>
      </c>
    </row>
    <row r="213" spans="1:18" x14ac:dyDescent="0.25">
      <c r="P213" s="49"/>
      <c r="Q213" s="49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45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To0M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To0N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461D3D72-51E9-48CA-9B74-0431234350F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2552B70-CEEE-4EDE-9C5F-5690BB2574D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2021 NOLC Refund Detail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Jeffrey S Dornsife</cp:lastModifiedBy>
  <cp:lastPrinted>2024-06-13T14:47:30Z</cp:lastPrinted>
  <dcterms:created xsi:type="dcterms:W3CDTF">2009-09-04T18:19:13Z</dcterms:created>
  <dcterms:modified xsi:type="dcterms:W3CDTF">2024-06-13T14:48:19Z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fe0e22d3-5569-41c2-9a0f-b7f0844f7669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{461D3D72-51E9-48CA-9B74-0431234350F1}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